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pidsgovph-my.sharepoint.com/personal/mabrigo_pids_gov_ph/Documents/My Drive/NTA Matters/202307 NTA Hawaii - update/macro account/v20240619/"/>
    </mc:Choice>
  </mc:AlternateContent>
  <xr:revisionPtr revIDLastSave="2597" documentId="8_{B7C028BE-E9FB-4232-B4FF-587E8D14FC59}" xr6:coauthVersionLast="47" xr6:coauthVersionMax="47" xr10:uidLastSave="{D3C3B9B5-B330-4D9F-9CF0-540F443E6A8C}"/>
  <bookViews>
    <workbookView xWindow="-110" yWindow="-110" windowWidth="19420" windowHeight="11500" tabRatio="868" xr2:uid="{C0357D62-796C-4735-AA0F-C2958607A084}"/>
  </bookViews>
  <sheets>
    <sheet name="lc" sheetId="1" r:id="rId1"/>
    <sheet name="rg" sheetId="17" r:id="rId2"/>
    <sheet name="rf" sheetId="16" r:id="rId3"/>
    <sheet name="agg_db" sheetId="26" r:id="rId4"/>
    <sheet name="T1" sheetId="2" r:id="rId5"/>
    <sheet name="T2" sheetId="10" r:id="rId6"/>
    <sheet name="T3" sheetId="4" r:id="rId7"/>
    <sheet name="T4" sheetId="6" r:id="rId8"/>
    <sheet name="T5" sheetId="5" r:id="rId9"/>
    <sheet name="T6" sheetId="7" r:id="rId10"/>
    <sheet name="T7" sheetId="8" r:id="rId11"/>
    <sheet name="T8" sheetId="9" r:id="rId12"/>
    <sheet name="T9" sheetId="11" r:id="rId13"/>
    <sheet name="T10" sheetId="12" r:id="rId14"/>
    <sheet name="T11" sheetId="14" r:id="rId15"/>
    <sheet name="T12" sheetId="15" r:id="rId16"/>
    <sheet name="T13" sheetId="3" r:id="rId17"/>
    <sheet name="T14" sheetId="20" r:id="rId18"/>
    <sheet name="T15" sheetId="18" r:id="rId19"/>
    <sheet name="T16" sheetId="21" r:id="rId20"/>
    <sheet name="A1" sheetId="19" r:id="rId21"/>
    <sheet name="A2" sheetId="22" r:id="rId22"/>
    <sheet name="A3" sheetId="24" r:id="rId2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8" i="17" l="1"/>
  <c r="F178" i="17"/>
  <c r="E191" i="17"/>
  <c r="F191" i="17"/>
  <c r="G191" i="17"/>
  <c r="F188" i="17"/>
  <c r="G188" i="17"/>
  <c r="J34" i="17"/>
  <c r="C129" i="26"/>
  <c r="C130" i="26"/>
  <c r="C131" i="26"/>
  <c r="C132" i="26"/>
  <c r="C133" i="26"/>
  <c r="C134" i="26"/>
  <c r="C135" i="26"/>
  <c r="D121" i="26"/>
  <c r="D127" i="26"/>
  <c r="D126" i="26"/>
  <c r="D125" i="26"/>
  <c r="D124" i="26"/>
  <c r="D123" i="26"/>
  <c r="D122" i="26"/>
  <c r="D128" i="26"/>
  <c r="D120" i="26"/>
  <c r="D119" i="26"/>
  <c r="D118" i="26"/>
  <c r="D117" i="26"/>
  <c r="D116" i="26"/>
  <c r="D115" i="26"/>
  <c r="B128" i="26"/>
  <c r="B127" i="26"/>
  <c r="B126" i="26"/>
  <c r="B125" i="26"/>
  <c r="B124" i="26"/>
  <c r="B123" i="26"/>
  <c r="C122" i="26"/>
  <c r="B122" i="26"/>
  <c r="B121" i="26"/>
  <c r="C120" i="26"/>
  <c r="B120" i="26"/>
  <c r="C119" i="26"/>
  <c r="B119" i="26"/>
  <c r="B118" i="26"/>
  <c r="B117" i="26"/>
  <c r="B116" i="26"/>
  <c r="C115" i="26"/>
  <c r="B115" i="26"/>
  <c r="D93" i="26"/>
  <c r="D106" i="26"/>
  <c r="D105" i="26"/>
  <c r="D104" i="26"/>
  <c r="D103" i="26"/>
  <c r="D102" i="26"/>
  <c r="D101" i="26"/>
  <c r="D100" i="26"/>
  <c r="D99" i="26"/>
  <c r="D98" i="26"/>
  <c r="D97" i="26"/>
  <c r="D96" i="26"/>
  <c r="D95" i="26"/>
  <c r="D94" i="26"/>
  <c r="D107" i="26"/>
  <c r="D92" i="26"/>
  <c r="D91" i="26"/>
  <c r="D90" i="26"/>
  <c r="D89" i="26"/>
  <c r="D88" i="26"/>
  <c r="D87" i="26"/>
  <c r="D86" i="26"/>
  <c r="D85" i="26"/>
  <c r="D84" i="26"/>
  <c r="D83" i="26"/>
  <c r="D82" i="26"/>
  <c r="D81" i="26"/>
  <c r="D80" i="26"/>
  <c r="B107" i="26"/>
  <c r="B106" i="26"/>
  <c r="C105" i="26"/>
  <c r="B105" i="26"/>
  <c r="C104" i="26"/>
  <c r="B104" i="26"/>
  <c r="B103" i="26"/>
  <c r="C102" i="26"/>
  <c r="B102" i="26"/>
  <c r="C101" i="26"/>
  <c r="B101" i="26"/>
  <c r="B100" i="26"/>
  <c r="B99" i="26"/>
  <c r="B98" i="26"/>
  <c r="B97" i="26"/>
  <c r="B96" i="26"/>
  <c r="B95" i="26"/>
  <c r="B94" i="26"/>
  <c r="B93" i="26"/>
  <c r="B92" i="26"/>
  <c r="B91" i="26"/>
  <c r="B90" i="26"/>
  <c r="B89" i="26"/>
  <c r="B88" i="26"/>
  <c r="B87" i="26"/>
  <c r="B86" i="26"/>
  <c r="B85" i="26"/>
  <c r="B84" i="26"/>
  <c r="B83" i="26"/>
  <c r="B82" i="26"/>
  <c r="C81" i="26"/>
  <c r="B81" i="26"/>
  <c r="C80" i="26"/>
  <c r="B80" i="26"/>
  <c r="C77" i="26"/>
  <c r="C76" i="26"/>
  <c r="C74" i="26"/>
  <c r="C73" i="26"/>
  <c r="D64" i="26"/>
  <c r="D63" i="26"/>
  <c r="D62" i="26"/>
  <c r="D61" i="26"/>
  <c r="D60" i="26"/>
  <c r="D59" i="26"/>
  <c r="D58" i="26"/>
  <c r="D57" i="26"/>
  <c r="D56" i="26"/>
  <c r="D65" i="26"/>
  <c r="D55" i="26"/>
  <c r="D54" i="26"/>
  <c r="D53" i="26"/>
  <c r="D52" i="26"/>
  <c r="D51" i="26"/>
  <c r="D50" i="26"/>
  <c r="D49" i="26"/>
  <c r="D48" i="26"/>
  <c r="D36" i="26"/>
  <c r="D35" i="26"/>
  <c r="D34" i="26"/>
  <c r="D33" i="26"/>
  <c r="D32" i="26"/>
  <c r="D31" i="26"/>
  <c r="D30" i="26"/>
  <c r="D29" i="26"/>
  <c r="D28" i="26"/>
  <c r="D19" i="26"/>
  <c r="D27" i="26"/>
  <c r="D26" i="26"/>
  <c r="D25" i="26"/>
  <c r="D24" i="26"/>
  <c r="D23" i="26"/>
  <c r="D22" i="26"/>
  <c r="D21" i="26"/>
  <c r="D20" i="26"/>
  <c r="C38" i="26"/>
  <c r="C37" i="26"/>
  <c r="C36" i="26"/>
  <c r="C35" i="26"/>
  <c r="C34" i="26"/>
  <c r="C33" i="26"/>
  <c r="C32" i="26"/>
  <c r="C31" i="26"/>
  <c r="C30" i="26"/>
  <c r="C29" i="26"/>
  <c r="C28" i="26"/>
  <c r="C27" i="26"/>
  <c r="C26" i="26"/>
  <c r="C25" i="26"/>
  <c r="C24" i="26"/>
  <c r="C23" i="26"/>
  <c r="C22" i="26"/>
  <c r="C21" i="26"/>
  <c r="C20" i="26"/>
  <c r="C19" i="26"/>
  <c r="C18" i="26"/>
  <c r="C17" i="26"/>
  <c r="C16" i="26"/>
  <c r="C15" i="26"/>
  <c r="C14" i="26"/>
  <c r="C13" i="26"/>
  <c r="C12" i="26"/>
  <c r="C11" i="26"/>
  <c r="C10" i="26"/>
  <c r="C9" i="26"/>
  <c r="C8" i="26"/>
  <c r="C7" i="26"/>
  <c r="C6" i="26"/>
  <c r="C5" i="26"/>
  <c r="C4" i="26"/>
  <c r="C3" i="26"/>
  <c r="C2" i="26"/>
  <c r="E239" i="1"/>
  <c r="E238" i="1"/>
  <c r="F33" i="17" l="1"/>
  <c r="J36" i="17"/>
  <c r="F38" i="17" s="1"/>
  <c r="J35" i="17"/>
  <c r="F37" i="17" s="1"/>
  <c r="E46" i="1" l="1"/>
  <c r="E35" i="1"/>
  <c r="E44" i="1"/>
  <c r="E45" i="1" s="1"/>
  <c r="E47" i="1" l="1"/>
  <c r="I21" i="24"/>
  <c r="I20" i="24"/>
  <c r="I19" i="24"/>
  <c r="I18" i="24"/>
  <c r="I17" i="24"/>
  <c r="I16" i="24"/>
  <c r="I15" i="24"/>
  <c r="I14" i="24"/>
  <c r="I13" i="24"/>
  <c r="I12" i="24"/>
  <c r="I11" i="24"/>
  <c r="I10" i="24"/>
  <c r="I9" i="24"/>
  <c r="I8" i="24"/>
  <c r="I7" i="24"/>
  <c r="J21" i="24"/>
  <c r="J20" i="24"/>
  <c r="J19" i="24"/>
  <c r="J18" i="24"/>
  <c r="J17" i="24"/>
  <c r="J16" i="24"/>
  <c r="J15" i="24"/>
  <c r="J14" i="24"/>
  <c r="J13" i="24"/>
  <c r="J12" i="24"/>
  <c r="J11" i="24"/>
  <c r="J10" i="24"/>
  <c r="J9" i="24"/>
  <c r="J8" i="24"/>
  <c r="J7" i="24"/>
  <c r="E173" i="1" l="1"/>
  <c r="E167" i="1"/>
  <c r="E166" i="1"/>
  <c r="E168" i="1"/>
  <c r="E169" i="1"/>
  <c r="E170" i="1"/>
  <c r="E171" i="1"/>
  <c r="E182" i="1"/>
  <c r="F90" i="17"/>
  <c r="F78" i="17"/>
  <c r="P84" i="6"/>
  <c r="P83" i="6"/>
  <c r="P82" i="6"/>
  <c r="P81" i="6"/>
  <c r="P80" i="6"/>
  <c r="P79" i="6"/>
  <c r="P78" i="6"/>
  <c r="P77" i="6"/>
  <c r="P76" i="6"/>
  <c r="P75" i="6"/>
  <c r="P74" i="6"/>
  <c r="P73" i="6"/>
  <c r="P72" i="6"/>
  <c r="P71" i="6"/>
  <c r="P70" i="6"/>
  <c r="P69" i="6"/>
  <c r="P68" i="6"/>
  <c r="P67" i="6"/>
  <c r="P66" i="6"/>
  <c r="P65" i="6"/>
  <c r="P64" i="6"/>
  <c r="P63" i="6"/>
  <c r="P62" i="6"/>
  <c r="P61" i="6"/>
  <c r="P60" i="6"/>
  <c r="P59" i="6"/>
  <c r="P58" i="6"/>
  <c r="P57" i="6"/>
  <c r="P56" i="6"/>
  <c r="P55" i="6"/>
  <c r="P54" i="6"/>
  <c r="P53" i="6"/>
  <c r="P52" i="6"/>
  <c r="P51" i="6"/>
  <c r="P50" i="6"/>
  <c r="P49" i="6"/>
  <c r="P48" i="6"/>
  <c r="P47" i="6"/>
  <c r="P46" i="6"/>
  <c r="P45" i="6"/>
  <c r="P44" i="6"/>
  <c r="P43" i="6"/>
  <c r="P42" i="6"/>
  <c r="P41" i="6"/>
  <c r="P40" i="6"/>
  <c r="P39" i="6"/>
  <c r="P38" i="6"/>
  <c r="P37" i="6"/>
  <c r="P36" i="6"/>
  <c r="P35" i="6"/>
  <c r="P34" i="6"/>
  <c r="P33" i="6"/>
  <c r="P32" i="6"/>
  <c r="P31" i="6"/>
  <c r="P30" i="6"/>
  <c r="P29" i="6"/>
  <c r="P28" i="6"/>
  <c r="P27" i="6"/>
  <c r="P26" i="6"/>
  <c r="P25" i="6"/>
  <c r="P24" i="6"/>
  <c r="P22" i="6"/>
  <c r="P21" i="6"/>
  <c r="P20" i="6"/>
  <c r="P19" i="6"/>
  <c r="P17" i="6"/>
  <c r="P16" i="6"/>
  <c r="P15" i="6"/>
  <c r="P14" i="6"/>
  <c r="P13" i="6"/>
  <c r="P12" i="6"/>
  <c r="P11" i="6"/>
  <c r="P10" i="6"/>
  <c r="P9" i="6"/>
  <c r="P8" i="6"/>
  <c r="P6" i="6"/>
  <c r="P174" i="6"/>
  <c r="P173" i="6"/>
  <c r="P172" i="6"/>
  <c r="P171" i="6"/>
  <c r="P170" i="6"/>
  <c r="P169" i="6"/>
  <c r="P168" i="6"/>
  <c r="P167" i="6"/>
  <c r="P166" i="6"/>
  <c r="P165" i="6"/>
  <c r="P164" i="6"/>
  <c r="P163" i="6"/>
  <c r="P162" i="6"/>
  <c r="P161" i="6"/>
  <c r="P160" i="6"/>
  <c r="P159" i="6"/>
  <c r="P158" i="6"/>
  <c r="P157" i="6"/>
  <c r="P156" i="6"/>
  <c r="P155" i="6"/>
  <c r="P154" i="6"/>
  <c r="P153" i="6"/>
  <c r="P152" i="6"/>
  <c r="P151" i="6"/>
  <c r="P150" i="6"/>
  <c r="P149" i="6"/>
  <c r="P148" i="6"/>
  <c r="P147" i="6"/>
  <c r="P146" i="6"/>
  <c r="P145" i="6"/>
  <c r="P144" i="6"/>
  <c r="P143" i="6"/>
  <c r="P142" i="6"/>
  <c r="P141" i="6"/>
  <c r="P140" i="6"/>
  <c r="P139" i="6"/>
  <c r="P138" i="6"/>
  <c r="P137" i="6"/>
  <c r="P136" i="6"/>
  <c r="P135" i="6"/>
  <c r="P134" i="6"/>
  <c r="P133" i="6"/>
  <c r="P132" i="6"/>
  <c r="P131" i="6"/>
  <c r="P130" i="6"/>
  <c r="P129" i="6"/>
  <c r="P128" i="6"/>
  <c r="P127" i="6"/>
  <c r="P126" i="6"/>
  <c r="P125" i="6"/>
  <c r="P124" i="6"/>
  <c r="P123" i="6"/>
  <c r="P122" i="6"/>
  <c r="P121" i="6"/>
  <c r="P120" i="6"/>
  <c r="P119" i="6"/>
  <c r="P118" i="6"/>
  <c r="P117" i="6"/>
  <c r="P116" i="6"/>
  <c r="P115" i="6"/>
  <c r="P114" i="6"/>
  <c r="P113" i="6"/>
  <c r="P112" i="6"/>
  <c r="P111" i="6"/>
  <c r="P110" i="6"/>
  <c r="P109" i="6"/>
  <c r="P108" i="6"/>
  <c r="P107" i="6"/>
  <c r="P106" i="6"/>
  <c r="P105" i="6"/>
  <c r="P104" i="6"/>
  <c r="P103" i="6"/>
  <c r="P102" i="6"/>
  <c r="P101" i="6"/>
  <c r="P100" i="6"/>
  <c r="P99" i="6"/>
  <c r="P98" i="6"/>
  <c r="P97" i="6"/>
  <c r="P96" i="6"/>
  <c r="O174" i="6"/>
  <c r="N174" i="6"/>
  <c r="M174" i="6"/>
  <c r="L174" i="6"/>
  <c r="K174" i="6"/>
  <c r="J174" i="6"/>
  <c r="I174" i="6"/>
  <c r="H174" i="6"/>
  <c r="G174" i="6"/>
  <c r="F174" i="6"/>
  <c r="E174" i="6"/>
  <c r="D174" i="6"/>
  <c r="O173" i="6"/>
  <c r="N173" i="6"/>
  <c r="M173" i="6"/>
  <c r="L173" i="6"/>
  <c r="K173" i="6"/>
  <c r="J173" i="6"/>
  <c r="I173" i="6"/>
  <c r="H173" i="6"/>
  <c r="G173" i="6"/>
  <c r="F173" i="6"/>
  <c r="E173" i="6"/>
  <c r="D173" i="6"/>
  <c r="O172" i="6"/>
  <c r="N172" i="6"/>
  <c r="M172" i="6"/>
  <c r="L172" i="6"/>
  <c r="K172" i="6"/>
  <c r="J172" i="6"/>
  <c r="I172" i="6"/>
  <c r="H172" i="6"/>
  <c r="G172" i="6"/>
  <c r="F172" i="6"/>
  <c r="E172" i="6"/>
  <c r="D172" i="6"/>
  <c r="O171" i="6"/>
  <c r="N171" i="6"/>
  <c r="M171" i="6"/>
  <c r="L171" i="6"/>
  <c r="K171" i="6"/>
  <c r="J171" i="6"/>
  <c r="I171" i="6"/>
  <c r="H171" i="6"/>
  <c r="G171" i="6"/>
  <c r="F171" i="6"/>
  <c r="E171" i="6"/>
  <c r="D171" i="6"/>
  <c r="O170" i="6"/>
  <c r="N170" i="6"/>
  <c r="M170" i="6"/>
  <c r="L170" i="6"/>
  <c r="K170" i="6"/>
  <c r="J170" i="6"/>
  <c r="I170" i="6"/>
  <c r="H170" i="6"/>
  <c r="G170" i="6"/>
  <c r="F170" i="6"/>
  <c r="E170" i="6"/>
  <c r="D170" i="6"/>
  <c r="O169" i="6"/>
  <c r="N169" i="6"/>
  <c r="M169" i="6"/>
  <c r="L169" i="6"/>
  <c r="K169" i="6"/>
  <c r="J169" i="6"/>
  <c r="I169" i="6"/>
  <c r="H169" i="6"/>
  <c r="G169" i="6"/>
  <c r="F169" i="6"/>
  <c r="E169" i="6"/>
  <c r="D169" i="6"/>
  <c r="O168" i="6"/>
  <c r="N168" i="6"/>
  <c r="M168" i="6"/>
  <c r="L168" i="6"/>
  <c r="K168" i="6"/>
  <c r="J168" i="6"/>
  <c r="I168" i="6"/>
  <c r="H168" i="6"/>
  <c r="G168" i="6"/>
  <c r="F168" i="6"/>
  <c r="E168" i="6"/>
  <c r="D168" i="6"/>
  <c r="O167" i="6"/>
  <c r="N167" i="6"/>
  <c r="M167" i="6"/>
  <c r="L167" i="6"/>
  <c r="K167" i="6"/>
  <c r="J167" i="6"/>
  <c r="I167" i="6"/>
  <c r="H167" i="6"/>
  <c r="G167" i="6"/>
  <c r="F167" i="6"/>
  <c r="E167" i="6"/>
  <c r="D167" i="6"/>
  <c r="O166" i="6"/>
  <c r="N166" i="6"/>
  <c r="M166" i="6"/>
  <c r="L166" i="6"/>
  <c r="K166" i="6"/>
  <c r="J166" i="6"/>
  <c r="I166" i="6"/>
  <c r="H166" i="6"/>
  <c r="G166" i="6"/>
  <c r="F166" i="6"/>
  <c r="E166" i="6"/>
  <c r="D166" i="6"/>
  <c r="O165" i="6"/>
  <c r="N165" i="6"/>
  <c r="M165" i="6"/>
  <c r="L165" i="6"/>
  <c r="K165" i="6"/>
  <c r="J165" i="6"/>
  <c r="I165" i="6"/>
  <c r="H165" i="6"/>
  <c r="G165" i="6"/>
  <c r="F165" i="6"/>
  <c r="E165" i="6"/>
  <c r="D165" i="6"/>
  <c r="O164" i="6"/>
  <c r="N164" i="6"/>
  <c r="M164" i="6"/>
  <c r="L164" i="6"/>
  <c r="K164" i="6"/>
  <c r="J164" i="6"/>
  <c r="I164" i="6"/>
  <c r="H164" i="6"/>
  <c r="G164" i="6"/>
  <c r="F164" i="6"/>
  <c r="E164" i="6"/>
  <c r="D164" i="6"/>
  <c r="O163" i="6"/>
  <c r="N163" i="6"/>
  <c r="M163" i="6"/>
  <c r="L163" i="6"/>
  <c r="K163" i="6"/>
  <c r="J163" i="6"/>
  <c r="I163" i="6"/>
  <c r="H163" i="6"/>
  <c r="G163" i="6"/>
  <c r="F163" i="6"/>
  <c r="E163" i="6"/>
  <c r="D163" i="6"/>
  <c r="O162" i="6"/>
  <c r="N162" i="6"/>
  <c r="M162" i="6"/>
  <c r="L162" i="6"/>
  <c r="K162" i="6"/>
  <c r="J162" i="6"/>
  <c r="I162" i="6"/>
  <c r="H162" i="6"/>
  <c r="G162" i="6"/>
  <c r="F162" i="6"/>
  <c r="E162" i="6"/>
  <c r="D162" i="6"/>
  <c r="O161" i="6"/>
  <c r="N161" i="6"/>
  <c r="M161" i="6"/>
  <c r="L161" i="6"/>
  <c r="K161" i="6"/>
  <c r="J161" i="6"/>
  <c r="I161" i="6"/>
  <c r="H161" i="6"/>
  <c r="G161" i="6"/>
  <c r="F161" i="6"/>
  <c r="E161" i="6"/>
  <c r="D161" i="6"/>
  <c r="O160" i="6"/>
  <c r="N160" i="6"/>
  <c r="M160" i="6"/>
  <c r="L160" i="6"/>
  <c r="K160" i="6"/>
  <c r="J160" i="6"/>
  <c r="I160" i="6"/>
  <c r="H160" i="6"/>
  <c r="G160" i="6"/>
  <c r="F160" i="6"/>
  <c r="E160" i="6"/>
  <c r="D160" i="6"/>
  <c r="O159" i="6"/>
  <c r="N159" i="6"/>
  <c r="M159" i="6"/>
  <c r="L159" i="6"/>
  <c r="K159" i="6"/>
  <c r="J159" i="6"/>
  <c r="I159" i="6"/>
  <c r="H159" i="6"/>
  <c r="G159" i="6"/>
  <c r="F159" i="6"/>
  <c r="E159" i="6"/>
  <c r="D159" i="6"/>
  <c r="O158" i="6"/>
  <c r="N158" i="6"/>
  <c r="M158" i="6"/>
  <c r="L158" i="6"/>
  <c r="K158" i="6"/>
  <c r="J158" i="6"/>
  <c r="I158" i="6"/>
  <c r="H158" i="6"/>
  <c r="G158" i="6"/>
  <c r="F158" i="6"/>
  <c r="E158" i="6"/>
  <c r="D158" i="6"/>
  <c r="O157" i="6"/>
  <c r="N157" i="6"/>
  <c r="M157" i="6"/>
  <c r="L157" i="6"/>
  <c r="K157" i="6"/>
  <c r="J157" i="6"/>
  <c r="I157" i="6"/>
  <c r="H157" i="6"/>
  <c r="G157" i="6"/>
  <c r="F157" i="6"/>
  <c r="E157" i="6"/>
  <c r="D157" i="6"/>
  <c r="O156" i="6"/>
  <c r="N156" i="6"/>
  <c r="M156" i="6"/>
  <c r="L156" i="6"/>
  <c r="K156" i="6"/>
  <c r="J156" i="6"/>
  <c r="I156" i="6"/>
  <c r="H156" i="6"/>
  <c r="G156" i="6"/>
  <c r="F156" i="6"/>
  <c r="E156" i="6"/>
  <c r="D156" i="6"/>
  <c r="O155" i="6"/>
  <c r="N155" i="6"/>
  <c r="M155" i="6"/>
  <c r="L155" i="6"/>
  <c r="K155" i="6"/>
  <c r="J155" i="6"/>
  <c r="I155" i="6"/>
  <c r="H155" i="6"/>
  <c r="G155" i="6"/>
  <c r="F155" i="6"/>
  <c r="E155" i="6"/>
  <c r="D155" i="6"/>
  <c r="O154" i="6"/>
  <c r="N154" i="6"/>
  <c r="M154" i="6"/>
  <c r="L154" i="6"/>
  <c r="K154" i="6"/>
  <c r="J154" i="6"/>
  <c r="I154" i="6"/>
  <c r="H154" i="6"/>
  <c r="G154" i="6"/>
  <c r="F154" i="6"/>
  <c r="E154" i="6"/>
  <c r="D154" i="6"/>
  <c r="O153" i="6"/>
  <c r="N153" i="6"/>
  <c r="M153" i="6"/>
  <c r="L153" i="6"/>
  <c r="K153" i="6"/>
  <c r="J153" i="6"/>
  <c r="I153" i="6"/>
  <c r="H153" i="6"/>
  <c r="G153" i="6"/>
  <c r="F153" i="6"/>
  <c r="E153" i="6"/>
  <c r="D153" i="6"/>
  <c r="O152" i="6"/>
  <c r="N152" i="6"/>
  <c r="M152" i="6"/>
  <c r="L152" i="6"/>
  <c r="K152" i="6"/>
  <c r="J152" i="6"/>
  <c r="I152" i="6"/>
  <c r="H152" i="6"/>
  <c r="G152" i="6"/>
  <c r="F152" i="6"/>
  <c r="E152" i="6"/>
  <c r="D152" i="6"/>
  <c r="O151" i="6"/>
  <c r="N151" i="6"/>
  <c r="M151" i="6"/>
  <c r="L151" i="6"/>
  <c r="K151" i="6"/>
  <c r="J151" i="6"/>
  <c r="I151" i="6"/>
  <c r="H151" i="6"/>
  <c r="G151" i="6"/>
  <c r="F151" i="6"/>
  <c r="E151" i="6"/>
  <c r="D151" i="6"/>
  <c r="O150" i="6"/>
  <c r="N150" i="6"/>
  <c r="M150" i="6"/>
  <c r="L150" i="6"/>
  <c r="K150" i="6"/>
  <c r="J150" i="6"/>
  <c r="I150" i="6"/>
  <c r="H150" i="6"/>
  <c r="G150" i="6"/>
  <c r="F150" i="6"/>
  <c r="E150" i="6"/>
  <c r="D150" i="6"/>
  <c r="O149" i="6"/>
  <c r="N149" i="6"/>
  <c r="M149" i="6"/>
  <c r="L149" i="6"/>
  <c r="K149" i="6"/>
  <c r="J149" i="6"/>
  <c r="I149" i="6"/>
  <c r="H149" i="6"/>
  <c r="G149" i="6"/>
  <c r="F149" i="6"/>
  <c r="E149" i="6"/>
  <c r="D149" i="6"/>
  <c r="O148" i="6"/>
  <c r="N148" i="6"/>
  <c r="M148" i="6"/>
  <c r="L148" i="6"/>
  <c r="K148" i="6"/>
  <c r="J148" i="6"/>
  <c r="I148" i="6"/>
  <c r="H148" i="6"/>
  <c r="G148" i="6"/>
  <c r="F148" i="6"/>
  <c r="E148" i="6"/>
  <c r="D148" i="6"/>
  <c r="O147" i="6"/>
  <c r="N147" i="6"/>
  <c r="M147" i="6"/>
  <c r="L147" i="6"/>
  <c r="K147" i="6"/>
  <c r="J147" i="6"/>
  <c r="I147" i="6"/>
  <c r="H147" i="6"/>
  <c r="G147" i="6"/>
  <c r="F147" i="6"/>
  <c r="E147" i="6"/>
  <c r="D147" i="6"/>
  <c r="O146" i="6"/>
  <c r="N146" i="6"/>
  <c r="M146" i="6"/>
  <c r="L146" i="6"/>
  <c r="K146" i="6"/>
  <c r="J146" i="6"/>
  <c r="I146" i="6"/>
  <c r="H146" i="6"/>
  <c r="G146" i="6"/>
  <c r="F146" i="6"/>
  <c r="E146" i="6"/>
  <c r="D146" i="6"/>
  <c r="O145" i="6"/>
  <c r="N145" i="6"/>
  <c r="M145" i="6"/>
  <c r="L145" i="6"/>
  <c r="K145" i="6"/>
  <c r="J145" i="6"/>
  <c r="I145" i="6"/>
  <c r="H145" i="6"/>
  <c r="G145" i="6"/>
  <c r="F145" i="6"/>
  <c r="E145" i="6"/>
  <c r="D145" i="6"/>
  <c r="O144" i="6"/>
  <c r="N144" i="6"/>
  <c r="M144" i="6"/>
  <c r="L144" i="6"/>
  <c r="K144" i="6"/>
  <c r="J144" i="6"/>
  <c r="I144" i="6"/>
  <c r="H144" i="6"/>
  <c r="G144" i="6"/>
  <c r="F144" i="6"/>
  <c r="E144" i="6"/>
  <c r="D144" i="6"/>
  <c r="O143" i="6"/>
  <c r="N143" i="6"/>
  <c r="M143" i="6"/>
  <c r="L143" i="6"/>
  <c r="K143" i="6"/>
  <c r="J143" i="6"/>
  <c r="I143" i="6"/>
  <c r="H143" i="6"/>
  <c r="G143" i="6"/>
  <c r="F143" i="6"/>
  <c r="E143" i="6"/>
  <c r="D143" i="6"/>
  <c r="O142" i="6"/>
  <c r="N142" i="6"/>
  <c r="M142" i="6"/>
  <c r="L142" i="6"/>
  <c r="K142" i="6"/>
  <c r="J142" i="6"/>
  <c r="I142" i="6"/>
  <c r="H142" i="6"/>
  <c r="G142" i="6"/>
  <c r="F142" i="6"/>
  <c r="E142" i="6"/>
  <c r="D142" i="6"/>
  <c r="O141" i="6"/>
  <c r="N141" i="6"/>
  <c r="M141" i="6"/>
  <c r="L141" i="6"/>
  <c r="K141" i="6"/>
  <c r="J141" i="6"/>
  <c r="I141" i="6"/>
  <c r="H141" i="6"/>
  <c r="G141" i="6"/>
  <c r="F141" i="6"/>
  <c r="E141" i="6"/>
  <c r="D141" i="6"/>
  <c r="O140" i="6"/>
  <c r="N140" i="6"/>
  <c r="M140" i="6"/>
  <c r="L140" i="6"/>
  <c r="K140" i="6"/>
  <c r="J140" i="6"/>
  <c r="I140" i="6"/>
  <c r="H140" i="6"/>
  <c r="G140" i="6"/>
  <c r="F140" i="6"/>
  <c r="E140" i="6"/>
  <c r="D140" i="6"/>
  <c r="O139" i="6"/>
  <c r="N139" i="6"/>
  <c r="M139" i="6"/>
  <c r="L139" i="6"/>
  <c r="K139" i="6"/>
  <c r="J139" i="6"/>
  <c r="I139" i="6"/>
  <c r="H139" i="6"/>
  <c r="G139" i="6"/>
  <c r="F139" i="6"/>
  <c r="E139" i="6"/>
  <c r="D139" i="6"/>
  <c r="O138" i="6"/>
  <c r="N138" i="6"/>
  <c r="M138" i="6"/>
  <c r="L138" i="6"/>
  <c r="K138" i="6"/>
  <c r="J138" i="6"/>
  <c r="I138" i="6"/>
  <c r="H138" i="6"/>
  <c r="G138" i="6"/>
  <c r="F138" i="6"/>
  <c r="E138" i="6"/>
  <c r="D138" i="6"/>
  <c r="O137" i="6"/>
  <c r="N137" i="6"/>
  <c r="M137" i="6"/>
  <c r="L137" i="6"/>
  <c r="K137" i="6"/>
  <c r="J137" i="6"/>
  <c r="I137" i="6"/>
  <c r="H137" i="6"/>
  <c r="G137" i="6"/>
  <c r="F137" i="6"/>
  <c r="E137" i="6"/>
  <c r="D137" i="6"/>
  <c r="O136" i="6"/>
  <c r="N136" i="6"/>
  <c r="M136" i="6"/>
  <c r="L136" i="6"/>
  <c r="K136" i="6"/>
  <c r="J136" i="6"/>
  <c r="I136" i="6"/>
  <c r="H136" i="6"/>
  <c r="G136" i="6"/>
  <c r="F136" i="6"/>
  <c r="E136" i="6"/>
  <c r="D136" i="6"/>
  <c r="O135" i="6"/>
  <c r="N135" i="6"/>
  <c r="M135" i="6"/>
  <c r="L135" i="6"/>
  <c r="K135" i="6"/>
  <c r="J135" i="6"/>
  <c r="I135" i="6"/>
  <c r="H135" i="6"/>
  <c r="G135" i="6"/>
  <c r="F135" i="6"/>
  <c r="E135" i="6"/>
  <c r="D135" i="6"/>
  <c r="O134" i="6"/>
  <c r="N134" i="6"/>
  <c r="M134" i="6"/>
  <c r="L134" i="6"/>
  <c r="K134" i="6"/>
  <c r="J134" i="6"/>
  <c r="I134" i="6"/>
  <c r="H134" i="6"/>
  <c r="G134" i="6"/>
  <c r="F134" i="6"/>
  <c r="E134" i="6"/>
  <c r="D134" i="6"/>
  <c r="O133" i="6"/>
  <c r="N133" i="6"/>
  <c r="M133" i="6"/>
  <c r="L133" i="6"/>
  <c r="K133" i="6"/>
  <c r="J133" i="6"/>
  <c r="I133" i="6"/>
  <c r="H133" i="6"/>
  <c r="G133" i="6"/>
  <c r="F133" i="6"/>
  <c r="E133" i="6"/>
  <c r="D133" i="6"/>
  <c r="O132" i="6"/>
  <c r="N132" i="6"/>
  <c r="M132" i="6"/>
  <c r="L132" i="6"/>
  <c r="K132" i="6"/>
  <c r="J132" i="6"/>
  <c r="I132" i="6"/>
  <c r="H132" i="6"/>
  <c r="G132" i="6"/>
  <c r="F132" i="6"/>
  <c r="E132" i="6"/>
  <c r="D132" i="6"/>
  <c r="O131" i="6"/>
  <c r="N131" i="6"/>
  <c r="M131" i="6"/>
  <c r="L131" i="6"/>
  <c r="K131" i="6"/>
  <c r="J131" i="6"/>
  <c r="I131" i="6"/>
  <c r="H131" i="6"/>
  <c r="G131" i="6"/>
  <c r="F131" i="6"/>
  <c r="E131" i="6"/>
  <c r="D131" i="6"/>
  <c r="O130" i="6"/>
  <c r="N130" i="6"/>
  <c r="M130" i="6"/>
  <c r="L130" i="6"/>
  <c r="K130" i="6"/>
  <c r="J130" i="6"/>
  <c r="I130" i="6"/>
  <c r="H130" i="6"/>
  <c r="G130" i="6"/>
  <c r="F130" i="6"/>
  <c r="E130" i="6"/>
  <c r="D130" i="6"/>
  <c r="O129" i="6"/>
  <c r="N129" i="6"/>
  <c r="M129" i="6"/>
  <c r="L129" i="6"/>
  <c r="K129" i="6"/>
  <c r="J129" i="6"/>
  <c r="I129" i="6"/>
  <c r="H129" i="6"/>
  <c r="G129" i="6"/>
  <c r="F129" i="6"/>
  <c r="E129" i="6"/>
  <c r="D129" i="6"/>
  <c r="O128" i="6"/>
  <c r="N128" i="6"/>
  <c r="M128" i="6"/>
  <c r="L128" i="6"/>
  <c r="K128" i="6"/>
  <c r="J128" i="6"/>
  <c r="I128" i="6"/>
  <c r="H128" i="6"/>
  <c r="G128" i="6"/>
  <c r="F128" i="6"/>
  <c r="E128" i="6"/>
  <c r="D128" i="6"/>
  <c r="O127" i="6"/>
  <c r="N127" i="6"/>
  <c r="M127" i="6"/>
  <c r="L127" i="6"/>
  <c r="K127" i="6"/>
  <c r="J127" i="6"/>
  <c r="I127" i="6"/>
  <c r="H127" i="6"/>
  <c r="G127" i="6"/>
  <c r="F127" i="6"/>
  <c r="E127" i="6"/>
  <c r="D127" i="6"/>
  <c r="O126" i="6"/>
  <c r="N126" i="6"/>
  <c r="M126" i="6"/>
  <c r="L126" i="6"/>
  <c r="K126" i="6"/>
  <c r="J126" i="6"/>
  <c r="I126" i="6"/>
  <c r="H126" i="6"/>
  <c r="G126" i="6"/>
  <c r="F126" i="6"/>
  <c r="E126" i="6"/>
  <c r="D126" i="6"/>
  <c r="O125" i="6"/>
  <c r="N125" i="6"/>
  <c r="M125" i="6"/>
  <c r="L125" i="6"/>
  <c r="K125" i="6"/>
  <c r="J125" i="6"/>
  <c r="I125" i="6"/>
  <c r="H125" i="6"/>
  <c r="G125" i="6"/>
  <c r="F125" i="6"/>
  <c r="E125" i="6"/>
  <c r="D125" i="6"/>
  <c r="O124" i="6"/>
  <c r="N124" i="6"/>
  <c r="M124" i="6"/>
  <c r="L124" i="6"/>
  <c r="K124" i="6"/>
  <c r="J124" i="6"/>
  <c r="I124" i="6"/>
  <c r="H124" i="6"/>
  <c r="G124" i="6"/>
  <c r="F124" i="6"/>
  <c r="E124" i="6"/>
  <c r="D124" i="6"/>
  <c r="O123" i="6"/>
  <c r="N123" i="6"/>
  <c r="M123" i="6"/>
  <c r="L123" i="6"/>
  <c r="K123" i="6"/>
  <c r="J123" i="6"/>
  <c r="I123" i="6"/>
  <c r="H123" i="6"/>
  <c r="G123" i="6"/>
  <c r="F123" i="6"/>
  <c r="E123" i="6"/>
  <c r="D123" i="6"/>
  <c r="O122" i="6"/>
  <c r="N122" i="6"/>
  <c r="M122" i="6"/>
  <c r="L122" i="6"/>
  <c r="K122" i="6"/>
  <c r="J122" i="6"/>
  <c r="I122" i="6"/>
  <c r="H122" i="6"/>
  <c r="G122" i="6"/>
  <c r="F122" i="6"/>
  <c r="E122" i="6"/>
  <c r="D122" i="6"/>
  <c r="O121" i="6"/>
  <c r="N121" i="6"/>
  <c r="M121" i="6"/>
  <c r="L121" i="6"/>
  <c r="K121" i="6"/>
  <c r="J121" i="6"/>
  <c r="I121" i="6"/>
  <c r="H121" i="6"/>
  <c r="G121" i="6"/>
  <c r="F121" i="6"/>
  <c r="E121" i="6"/>
  <c r="D121" i="6"/>
  <c r="O120" i="6"/>
  <c r="N120" i="6"/>
  <c r="M120" i="6"/>
  <c r="L120" i="6"/>
  <c r="K120" i="6"/>
  <c r="J120" i="6"/>
  <c r="I120" i="6"/>
  <c r="H120" i="6"/>
  <c r="G120" i="6"/>
  <c r="F120" i="6"/>
  <c r="E120" i="6"/>
  <c r="D120" i="6"/>
  <c r="O119" i="6"/>
  <c r="N119" i="6"/>
  <c r="M119" i="6"/>
  <c r="L119" i="6"/>
  <c r="K119" i="6"/>
  <c r="J119" i="6"/>
  <c r="I119" i="6"/>
  <c r="H119" i="6"/>
  <c r="G119" i="6"/>
  <c r="F119" i="6"/>
  <c r="E119" i="6"/>
  <c r="D119" i="6"/>
  <c r="O118" i="6"/>
  <c r="N118" i="6"/>
  <c r="M118" i="6"/>
  <c r="L118" i="6"/>
  <c r="K118" i="6"/>
  <c r="J118" i="6"/>
  <c r="I118" i="6"/>
  <c r="H118" i="6"/>
  <c r="G118" i="6"/>
  <c r="F118" i="6"/>
  <c r="E118" i="6"/>
  <c r="D118" i="6"/>
  <c r="O117" i="6"/>
  <c r="N117" i="6"/>
  <c r="M117" i="6"/>
  <c r="L117" i="6"/>
  <c r="K117" i="6"/>
  <c r="J117" i="6"/>
  <c r="I117" i="6"/>
  <c r="H117" i="6"/>
  <c r="G117" i="6"/>
  <c r="F117" i="6"/>
  <c r="E117" i="6"/>
  <c r="D117" i="6"/>
  <c r="O116" i="6"/>
  <c r="N116" i="6"/>
  <c r="M116" i="6"/>
  <c r="L116" i="6"/>
  <c r="K116" i="6"/>
  <c r="J116" i="6"/>
  <c r="I116" i="6"/>
  <c r="H116" i="6"/>
  <c r="G116" i="6"/>
  <c r="F116" i="6"/>
  <c r="E116" i="6"/>
  <c r="D116" i="6"/>
  <c r="O115" i="6"/>
  <c r="N115" i="6"/>
  <c r="M115" i="6"/>
  <c r="L115" i="6"/>
  <c r="K115" i="6"/>
  <c r="J115" i="6"/>
  <c r="I115" i="6"/>
  <c r="H115" i="6"/>
  <c r="G115" i="6"/>
  <c r="F115" i="6"/>
  <c r="E115" i="6"/>
  <c r="D115" i="6"/>
  <c r="O114" i="6"/>
  <c r="N114" i="6"/>
  <c r="M114" i="6"/>
  <c r="L114" i="6"/>
  <c r="K114" i="6"/>
  <c r="J114" i="6"/>
  <c r="I114" i="6"/>
  <c r="H114" i="6"/>
  <c r="G114" i="6"/>
  <c r="F114" i="6"/>
  <c r="E114" i="6"/>
  <c r="D114" i="6"/>
  <c r="O113" i="6"/>
  <c r="N113" i="6"/>
  <c r="M113" i="6"/>
  <c r="L113" i="6"/>
  <c r="K113" i="6"/>
  <c r="J113" i="6"/>
  <c r="I113" i="6"/>
  <c r="H113" i="6"/>
  <c r="G113" i="6"/>
  <c r="F113" i="6"/>
  <c r="E113" i="6"/>
  <c r="D113" i="6"/>
  <c r="O112" i="6"/>
  <c r="N112" i="6"/>
  <c r="M112" i="6"/>
  <c r="L112" i="6"/>
  <c r="K112" i="6"/>
  <c r="J112" i="6"/>
  <c r="I112" i="6"/>
  <c r="H112" i="6"/>
  <c r="G112" i="6"/>
  <c r="F112" i="6"/>
  <c r="E112" i="6"/>
  <c r="D112" i="6"/>
  <c r="O111" i="6"/>
  <c r="N111" i="6"/>
  <c r="M111" i="6"/>
  <c r="L111" i="6"/>
  <c r="K111" i="6"/>
  <c r="J111" i="6"/>
  <c r="I111" i="6"/>
  <c r="H111" i="6"/>
  <c r="G111" i="6"/>
  <c r="F111" i="6"/>
  <c r="E111" i="6"/>
  <c r="D111" i="6"/>
  <c r="O110" i="6"/>
  <c r="N110" i="6"/>
  <c r="M110" i="6"/>
  <c r="L110" i="6"/>
  <c r="K110" i="6"/>
  <c r="J110" i="6"/>
  <c r="I110" i="6"/>
  <c r="H110" i="6"/>
  <c r="G110" i="6"/>
  <c r="F110" i="6"/>
  <c r="E110" i="6"/>
  <c r="D110" i="6"/>
  <c r="O109" i="6"/>
  <c r="N109" i="6"/>
  <c r="M109" i="6"/>
  <c r="L109" i="6"/>
  <c r="K109" i="6"/>
  <c r="J109" i="6"/>
  <c r="I109" i="6"/>
  <c r="H109" i="6"/>
  <c r="G109" i="6"/>
  <c r="F109" i="6"/>
  <c r="E109" i="6"/>
  <c r="D109" i="6"/>
  <c r="O108" i="6"/>
  <c r="N108" i="6"/>
  <c r="M108" i="6"/>
  <c r="L108" i="6"/>
  <c r="K108" i="6"/>
  <c r="J108" i="6"/>
  <c r="I108" i="6"/>
  <c r="H108" i="6"/>
  <c r="G108" i="6"/>
  <c r="F108" i="6"/>
  <c r="E108" i="6"/>
  <c r="D108" i="6"/>
  <c r="O107" i="6"/>
  <c r="N107" i="6"/>
  <c r="M107" i="6"/>
  <c r="L107" i="6"/>
  <c r="K107" i="6"/>
  <c r="J107" i="6"/>
  <c r="I107" i="6"/>
  <c r="H107" i="6"/>
  <c r="G107" i="6"/>
  <c r="F107" i="6"/>
  <c r="E107" i="6"/>
  <c r="D107" i="6"/>
  <c r="O106" i="6"/>
  <c r="N106" i="6"/>
  <c r="M106" i="6"/>
  <c r="L106" i="6"/>
  <c r="K106" i="6"/>
  <c r="J106" i="6"/>
  <c r="I106" i="6"/>
  <c r="H106" i="6"/>
  <c r="G106" i="6"/>
  <c r="F106" i="6"/>
  <c r="E106" i="6"/>
  <c r="D106" i="6"/>
  <c r="O105" i="6"/>
  <c r="N105" i="6"/>
  <c r="M105" i="6"/>
  <c r="L105" i="6"/>
  <c r="K105" i="6"/>
  <c r="J105" i="6"/>
  <c r="I105" i="6"/>
  <c r="H105" i="6"/>
  <c r="G105" i="6"/>
  <c r="F105" i="6"/>
  <c r="E105" i="6"/>
  <c r="D105" i="6"/>
  <c r="O104" i="6"/>
  <c r="N104" i="6"/>
  <c r="M104" i="6"/>
  <c r="L104" i="6"/>
  <c r="K104" i="6"/>
  <c r="J104" i="6"/>
  <c r="I104" i="6"/>
  <c r="H104" i="6"/>
  <c r="G104" i="6"/>
  <c r="F104" i="6"/>
  <c r="E104" i="6"/>
  <c r="D104" i="6"/>
  <c r="O103" i="6"/>
  <c r="N103" i="6"/>
  <c r="M103" i="6"/>
  <c r="L103" i="6"/>
  <c r="K103" i="6"/>
  <c r="J103" i="6"/>
  <c r="I103" i="6"/>
  <c r="H103" i="6"/>
  <c r="G103" i="6"/>
  <c r="F103" i="6"/>
  <c r="E103" i="6"/>
  <c r="D103" i="6"/>
  <c r="O102" i="6"/>
  <c r="N102" i="6"/>
  <c r="M102" i="6"/>
  <c r="L102" i="6"/>
  <c r="K102" i="6"/>
  <c r="J102" i="6"/>
  <c r="I102" i="6"/>
  <c r="H102" i="6"/>
  <c r="G102" i="6"/>
  <c r="F102" i="6"/>
  <c r="E102" i="6"/>
  <c r="D102" i="6"/>
  <c r="O101" i="6"/>
  <c r="N101" i="6"/>
  <c r="M101" i="6"/>
  <c r="L101" i="6"/>
  <c r="K101" i="6"/>
  <c r="J101" i="6"/>
  <c r="I101" i="6"/>
  <c r="H101" i="6"/>
  <c r="G101" i="6"/>
  <c r="F101" i="6"/>
  <c r="E101" i="6"/>
  <c r="D101" i="6"/>
  <c r="O100" i="6"/>
  <c r="N100" i="6"/>
  <c r="M100" i="6"/>
  <c r="L100" i="6"/>
  <c r="K100" i="6"/>
  <c r="J100" i="6"/>
  <c r="I100" i="6"/>
  <c r="H100" i="6"/>
  <c r="G100" i="6"/>
  <c r="F100" i="6"/>
  <c r="E100" i="6"/>
  <c r="D100" i="6"/>
  <c r="O99" i="6"/>
  <c r="N99" i="6"/>
  <c r="M99" i="6"/>
  <c r="L99" i="6"/>
  <c r="K99" i="6"/>
  <c r="J99" i="6"/>
  <c r="I99" i="6"/>
  <c r="H99" i="6"/>
  <c r="G99" i="6"/>
  <c r="F99" i="6"/>
  <c r="E99" i="6"/>
  <c r="D99" i="6"/>
  <c r="O98" i="6"/>
  <c r="N98" i="6"/>
  <c r="M98" i="6"/>
  <c r="L98" i="6"/>
  <c r="K98" i="6"/>
  <c r="J98" i="6"/>
  <c r="I98" i="6"/>
  <c r="H98" i="6"/>
  <c r="G98" i="6"/>
  <c r="F98" i="6"/>
  <c r="E98" i="6"/>
  <c r="D98" i="6"/>
  <c r="O97" i="6"/>
  <c r="N97" i="6"/>
  <c r="M97" i="6"/>
  <c r="L97" i="6"/>
  <c r="K97" i="6"/>
  <c r="J97" i="6"/>
  <c r="I97" i="6"/>
  <c r="H97" i="6"/>
  <c r="G97" i="6"/>
  <c r="F97" i="6"/>
  <c r="E97" i="6"/>
  <c r="D97" i="6"/>
  <c r="O96" i="6"/>
  <c r="N96" i="6"/>
  <c r="M96" i="6"/>
  <c r="L96" i="6"/>
  <c r="K96" i="6"/>
  <c r="J96" i="6"/>
  <c r="I96" i="6"/>
  <c r="H96" i="6"/>
  <c r="G96" i="6"/>
  <c r="F96" i="6"/>
  <c r="E96" i="6"/>
  <c r="D96"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E180" i="1"/>
  <c r="E181" i="1"/>
  <c r="E201" i="17" l="1"/>
  <c r="C108" i="26" s="1"/>
  <c r="F206" i="17"/>
  <c r="G53" i="17"/>
  <c r="F187" i="17"/>
  <c r="C84" i="26" s="1"/>
  <c r="F186" i="17"/>
  <c r="C83" i="26" s="1"/>
  <c r="F185" i="17"/>
  <c r="F184" i="17"/>
  <c r="G172" i="17"/>
  <c r="C63" i="26" s="1"/>
  <c r="G169" i="17"/>
  <c r="C60" i="26" s="1"/>
  <c r="G168" i="17"/>
  <c r="C59" i="26" s="1"/>
  <c r="G167" i="17"/>
  <c r="C58" i="26" s="1"/>
  <c r="G164" i="17"/>
  <c r="C57" i="26" s="1"/>
  <c r="E125" i="17"/>
  <c r="E126" i="17"/>
  <c r="E124" i="17"/>
  <c r="E122" i="17"/>
  <c r="E123" i="17"/>
  <c r="E119" i="17"/>
  <c r="F110" i="17"/>
  <c r="E110" i="17" s="1"/>
  <c r="F113" i="17"/>
  <c r="E113" i="17" s="1"/>
  <c r="F114" i="17"/>
  <c r="E114" i="17" s="1"/>
  <c r="F109" i="17"/>
  <c r="E109" i="17" s="1"/>
  <c r="E99" i="17"/>
  <c r="E96" i="17"/>
  <c r="E95" i="17"/>
  <c r="E94" i="17"/>
  <c r="F98" i="17"/>
  <c r="E98" i="17" s="1"/>
  <c r="F86" i="17"/>
  <c r="E86" i="17" s="1"/>
  <c r="E74" i="17" s="1"/>
  <c r="F82" i="17"/>
  <c r="F70" i="17" s="1"/>
  <c r="F83" i="17"/>
  <c r="F71" i="17" s="1"/>
  <c r="F84" i="17"/>
  <c r="F72" i="17" s="1"/>
  <c r="F87" i="17"/>
  <c r="F75" i="17" s="1"/>
  <c r="E64" i="17"/>
  <c r="F63" i="17"/>
  <c r="E30" i="17"/>
  <c r="E29" i="17"/>
  <c r="E28" i="17"/>
  <c r="E27" i="17"/>
  <c r="F39" i="17"/>
  <c r="E39" i="17" s="1"/>
  <c r="D5" i="20"/>
  <c r="E5" i="20" s="1"/>
  <c r="F5" i="20" s="1"/>
  <c r="G5" i="20" s="1"/>
  <c r="H5" i="20" s="1"/>
  <c r="I5" i="20" s="1"/>
  <c r="J5" i="20" s="1"/>
  <c r="K5" i="20" s="1"/>
  <c r="L5" i="20" s="1"/>
  <c r="M5" i="20" s="1"/>
  <c r="N5" i="20" s="1"/>
  <c r="O5" i="20" s="1"/>
  <c r="J27" i="17"/>
  <c r="J28" i="17"/>
  <c r="F32" i="17"/>
  <c r="F34" i="17"/>
  <c r="E34" i="17" s="1"/>
  <c r="F35" i="17"/>
  <c r="E35" i="17" s="1"/>
  <c r="G26" i="17"/>
  <c r="G31" i="17"/>
  <c r="G36" i="17"/>
  <c r="F18" i="19"/>
  <c r="E18" i="19"/>
  <c r="D18" i="19"/>
  <c r="C18" i="19"/>
  <c r="F13" i="19"/>
  <c r="E13" i="19"/>
  <c r="D13" i="19"/>
  <c r="C13" i="19"/>
  <c r="J29" i="17" l="1"/>
  <c r="J31" i="17" s="1"/>
  <c r="E38" i="17" s="1"/>
  <c r="E32" i="17"/>
  <c r="F190" i="17"/>
  <c r="C86" i="26" s="1"/>
  <c r="G203" i="17"/>
  <c r="C123" i="26" s="1"/>
  <c r="F172" i="17"/>
  <c r="G204" i="17"/>
  <c r="G207" i="17"/>
  <c r="C126" i="26" s="1"/>
  <c r="E87" i="17"/>
  <c r="E75" i="17" s="1"/>
  <c r="G208" i="17"/>
  <c r="F183" i="17"/>
  <c r="F164" i="17"/>
  <c r="F192" i="17"/>
  <c r="F171" i="17"/>
  <c r="C53" i="26" s="1"/>
  <c r="F142" i="17"/>
  <c r="E142" i="17" s="1"/>
  <c r="F197" i="17"/>
  <c r="C92" i="26" s="1"/>
  <c r="E83" i="17"/>
  <c r="E71" i="17" s="1"/>
  <c r="E84" i="17"/>
  <c r="E72" i="17" s="1"/>
  <c r="F167" i="17"/>
  <c r="F193" i="17"/>
  <c r="F168" i="17"/>
  <c r="F169" i="17"/>
  <c r="G171" i="17"/>
  <c r="C62" i="26" s="1"/>
  <c r="E82" i="17"/>
  <c r="E70" i="17" s="1"/>
  <c r="F74" i="17"/>
  <c r="E63" i="17"/>
  <c r="E192" i="17" l="1"/>
  <c r="C87" i="26"/>
  <c r="E164" i="17"/>
  <c r="C39" i="26" s="1"/>
  <c r="C48" i="26"/>
  <c r="E169" i="17"/>
  <c r="C42" i="26" s="1"/>
  <c r="C51" i="26"/>
  <c r="E208" i="17"/>
  <c r="C113" i="26" s="1"/>
  <c r="C127" i="26"/>
  <c r="E168" i="17"/>
  <c r="C41" i="26" s="1"/>
  <c r="C50" i="26"/>
  <c r="E193" i="17"/>
  <c r="C88" i="26"/>
  <c r="E167" i="17"/>
  <c r="C40" i="26" s="1"/>
  <c r="C49" i="26"/>
  <c r="G202" i="17"/>
  <c r="G200" i="17" s="1"/>
  <c r="C124" i="26"/>
  <c r="E172" i="17"/>
  <c r="C45" i="26" s="1"/>
  <c r="C54" i="26"/>
  <c r="J30" i="17"/>
  <c r="F195" i="17" s="1"/>
  <c r="C90" i="26" s="1"/>
  <c r="F196" i="17"/>
  <c r="E171" i="17"/>
  <c r="C44" i="26" s="1"/>
  <c r="F189" i="17"/>
  <c r="E207" i="17"/>
  <c r="C112" i="26" s="1"/>
  <c r="G206" i="17"/>
  <c r="E206" i="17" s="1"/>
  <c r="E196" i="17" l="1"/>
  <c r="C91" i="26"/>
  <c r="C85" i="26"/>
  <c r="E33" i="17"/>
  <c r="F31" i="17"/>
  <c r="E31" i="17" s="1"/>
  <c r="F36" i="17"/>
  <c r="E36" i="17" s="1"/>
  <c r="E37" i="17"/>
  <c r="F194" i="17"/>
  <c r="E195" i="17"/>
  <c r="E59" i="17" l="1"/>
  <c r="P7" i="5"/>
  <c r="P8" i="5"/>
  <c r="P9" i="5"/>
  <c r="P10" i="5"/>
  <c r="P11" i="5"/>
  <c r="O73" i="5"/>
  <c r="P73" i="5" s="1"/>
  <c r="N73" i="5"/>
  <c r="M73" i="5"/>
  <c r="L73" i="5"/>
  <c r="K73" i="5"/>
  <c r="J73" i="5"/>
  <c r="I73" i="5"/>
  <c r="H73" i="5"/>
  <c r="G73" i="5"/>
  <c r="F73" i="5"/>
  <c r="E73" i="5"/>
  <c r="D73" i="5"/>
  <c r="O72" i="5"/>
  <c r="P72" i="5" s="1"/>
  <c r="N72" i="5"/>
  <c r="M72" i="5"/>
  <c r="L72" i="5"/>
  <c r="K72" i="5"/>
  <c r="J72" i="5"/>
  <c r="I72" i="5"/>
  <c r="H72" i="5"/>
  <c r="G72" i="5"/>
  <c r="F72" i="5"/>
  <c r="E72" i="5"/>
  <c r="D72" i="5"/>
  <c r="O71" i="5"/>
  <c r="P71" i="5" s="1"/>
  <c r="N71" i="5"/>
  <c r="M71" i="5"/>
  <c r="L71" i="5"/>
  <c r="K71" i="5"/>
  <c r="J71" i="5"/>
  <c r="I71" i="5"/>
  <c r="H71" i="5"/>
  <c r="G71" i="5"/>
  <c r="F71" i="5"/>
  <c r="E71" i="5"/>
  <c r="D71" i="5"/>
  <c r="O70" i="5"/>
  <c r="P70" i="5" s="1"/>
  <c r="N70" i="5"/>
  <c r="M70" i="5"/>
  <c r="L70" i="5"/>
  <c r="K70" i="5"/>
  <c r="J70" i="5"/>
  <c r="I70" i="5"/>
  <c r="H70" i="5"/>
  <c r="G70" i="5"/>
  <c r="F70" i="5"/>
  <c r="E70" i="5"/>
  <c r="D70" i="5"/>
  <c r="O69" i="5"/>
  <c r="P69" i="5" s="1"/>
  <c r="N69" i="5"/>
  <c r="M69" i="5"/>
  <c r="L69" i="5"/>
  <c r="K69" i="5"/>
  <c r="J69" i="5"/>
  <c r="I69" i="5"/>
  <c r="H69" i="5"/>
  <c r="G69" i="5"/>
  <c r="F69" i="5"/>
  <c r="E69" i="5"/>
  <c r="D69" i="5"/>
  <c r="O68" i="5"/>
  <c r="P68" i="5" s="1"/>
  <c r="N68" i="5"/>
  <c r="M68" i="5"/>
  <c r="L68" i="5"/>
  <c r="K68" i="5"/>
  <c r="J68" i="5"/>
  <c r="I68" i="5"/>
  <c r="H68" i="5"/>
  <c r="G68" i="5"/>
  <c r="F68" i="5"/>
  <c r="E68" i="5"/>
  <c r="D68" i="5"/>
  <c r="C73" i="5"/>
  <c r="C72" i="5"/>
  <c r="C71" i="5"/>
  <c r="C70" i="5"/>
  <c r="C69" i="5"/>
  <c r="C68" i="5"/>
  <c r="G56" i="17"/>
  <c r="F57" i="17"/>
  <c r="E57" i="17" l="1"/>
  <c r="G197" i="17"/>
  <c r="F56" i="17"/>
  <c r="E56" i="17" s="1"/>
  <c r="F50" i="17"/>
  <c r="F49" i="17"/>
  <c r="E45" i="17"/>
  <c r="E46" i="17"/>
  <c r="G43" i="17"/>
  <c r="E43" i="17" s="1"/>
  <c r="G16" i="17"/>
  <c r="G8" i="17"/>
  <c r="C106" i="26" l="1"/>
  <c r="C78" i="26"/>
  <c r="G194" i="17"/>
  <c r="E194" i="17" s="1"/>
  <c r="E197" i="17"/>
  <c r="E50" i="17"/>
  <c r="G185" i="17"/>
  <c r="E185" i="17" s="1"/>
  <c r="E49" i="17"/>
  <c r="G184" i="17"/>
  <c r="E184" i="17" s="1"/>
  <c r="E36" i="16"/>
  <c r="E35" i="16"/>
  <c r="E29" i="16"/>
  <c r="E28" i="16"/>
  <c r="E31" i="16" s="1"/>
  <c r="E45" i="16" s="1"/>
  <c r="E16" i="16"/>
  <c r="E15" i="16"/>
  <c r="E23" i="16"/>
  <c r="E22" i="16"/>
  <c r="E17" i="16"/>
  <c r="E19" i="16" l="1"/>
  <c r="E10" i="1"/>
  <c r="E189" i="1" l="1"/>
  <c r="E54" i="16"/>
  <c r="E25" i="16"/>
  <c r="E55" i="16" s="1"/>
  <c r="E38" i="1"/>
  <c r="E37" i="1"/>
  <c r="E36" i="1"/>
  <c r="E34" i="1"/>
  <c r="E125" i="1"/>
  <c r="E6" i="16" l="1"/>
  <c r="E190" i="1"/>
  <c r="E188" i="1" s="1"/>
  <c r="E53" i="16"/>
  <c r="E122" i="1"/>
  <c r="E130" i="1" s="1"/>
  <c r="E126" i="1"/>
  <c r="O120" i="5"/>
  <c r="N120" i="5"/>
  <c r="M120" i="5"/>
  <c r="L120" i="5"/>
  <c r="K120" i="5"/>
  <c r="J120" i="5"/>
  <c r="I120" i="5"/>
  <c r="H120" i="5"/>
  <c r="G120" i="5"/>
  <c r="F120" i="5"/>
  <c r="E120" i="5"/>
  <c r="D120" i="5"/>
  <c r="C120" i="5"/>
  <c r="O119" i="5"/>
  <c r="N119" i="5"/>
  <c r="M119" i="5"/>
  <c r="L119" i="5"/>
  <c r="K119" i="5"/>
  <c r="J119" i="5"/>
  <c r="I119" i="5"/>
  <c r="H119" i="5"/>
  <c r="G119" i="5"/>
  <c r="F119" i="5"/>
  <c r="E119" i="5"/>
  <c r="D119" i="5"/>
  <c r="C119" i="5"/>
  <c r="O118" i="5"/>
  <c r="N118" i="5"/>
  <c r="M118" i="5"/>
  <c r="L118" i="5"/>
  <c r="K118" i="5"/>
  <c r="J118" i="5"/>
  <c r="I118" i="5"/>
  <c r="H118" i="5"/>
  <c r="G118" i="5"/>
  <c r="F118" i="5"/>
  <c r="E118" i="5"/>
  <c r="D118" i="5"/>
  <c r="C118" i="5"/>
  <c r="O117" i="5"/>
  <c r="N117" i="5"/>
  <c r="M117" i="5"/>
  <c r="L117" i="5"/>
  <c r="K117" i="5"/>
  <c r="J117" i="5"/>
  <c r="I117" i="5"/>
  <c r="H117" i="5"/>
  <c r="G117" i="5"/>
  <c r="F117" i="5"/>
  <c r="E117" i="5"/>
  <c r="D117" i="5"/>
  <c r="C117" i="5"/>
  <c r="O116" i="5"/>
  <c r="N116" i="5"/>
  <c r="M116" i="5"/>
  <c r="L116" i="5"/>
  <c r="K116" i="5"/>
  <c r="J116" i="5"/>
  <c r="I116" i="5"/>
  <c r="H116" i="5"/>
  <c r="G116" i="5"/>
  <c r="F116" i="5"/>
  <c r="E116" i="5"/>
  <c r="D116" i="5"/>
  <c r="C116" i="5"/>
  <c r="O115" i="5"/>
  <c r="N115" i="5"/>
  <c r="M115" i="5"/>
  <c r="L115" i="5"/>
  <c r="K115" i="5"/>
  <c r="J115" i="5"/>
  <c r="I115" i="5"/>
  <c r="H115" i="5"/>
  <c r="G115" i="5"/>
  <c r="F115" i="5"/>
  <c r="E115" i="5"/>
  <c r="D115" i="5"/>
  <c r="C115" i="5"/>
  <c r="O114" i="5"/>
  <c r="N114" i="5"/>
  <c r="M114" i="5"/>
  <c r="L114" i="5"/>
  <c r="K114" i="5"/>
  <c r="J114" i="5"/>
  <c r="I114" i="5"/>
  <c r="H114" i="5"/>
  <c r="G114" i="5"/>
  <c r="F114" i="5"/>
  <c r="E114" i="5"/>
  <c r="D114" i="5"/>
  <c r="C114" i="5"/>
  <c r="O113" i="5"/>
  <c r="N113" i="5"/>
  <c r="M113" i="5"/>
  <c r="L113" i="5"/>
  <c r="K113" i="5"/>
  <c r="J113" i="5"/>
  <c r="I113" i="5"/>
  <c r="H113" i="5"/>
  <c r="G113" i="5"/>
  <c r="F113" i="5"/>
  <c r="E113" i="5"/>
  <c r="D113" i="5"/>
  <c r="C113" i="5"/>
  <c r="O112" i="5"/>
  <c r="N112" i="5"/>
  <c r="M112" i="5"/>
  <c r="L112" i="5"/>
  <c r="K112" i="5"/>
  <c r="J112" i="5"/>
  <c r="I112" i="5"/>
  <c r="H112" i="5"/>
  <c r="G112" i="5"/>
  <c r="F112" i="5"/>
  <c r="E112" i="5"/>
  <c r="D112" i="5"/>
  <c r="C112" i="5"/>
  <c r="O111" i="5"/>
  <c r="N111" i="5"/>
  <c r="M111" i="5"/>
  <c r="L111" i="5"/>
  <c r="K111" i="5"/>
  <c r="J111" i="5"/>
  <c r="I111" i="5"/>
  <c r="H111" i="5"/>
  <c r="G111" i="5"/>
  <c r="F111" i="5"/>
  <c r="E111" i="5"/>
  <c r="D111" i="5"/>
  <c r="C111" i="5"/>
  <c r="O110" i="5"/>
  <c r="N110" i="5"/>
  <c r="M110" i="5"/>
  <c r="L110" i="5"/>
  <c r="K110" i="5"/>
  <c r="J110" i="5"/>
  <c r="I110" i="5"/>
  <c r="P110" i="5" s="1"/>
  <c r="P49" i="5" s="1"/>
  <c r="H110" i="5"/>
  <c r="G110" i="5"/>
  <c r="F110" i="5"/>
  <c r="E110" i="5"/>
  <c r="D110" i="5"/>
  <c r="C110" i="5"/>
  <c r="O109" i="5"/>
  <c r="N109" i="5"/>
  <c r="M109" i="5"/>
  <c r="L109" i="5"/>
  <c r="K109" i="5"/>
  <c r="J109" i="5"/>
  <c r="I109" i="5"/>
  <c r="H109" i="5"/>
  <c r="G109" i="5"/>
  <c r="F109" i="5"/>
  <c r="E109" i="5"/>
  <c r="D109" i="5"/>
  <c r="C109" i="5"/>
  <c r="O108" i="5"/>
  <c r="N108" i="5"/>
  <c r="M108" i="5"/>
  <c r="L108" i="5"/>
  <c r="K108" i="5"/>
  <c r="J108" i="5"/>
  <c r="I108" i="5"/>
  <c r="H108" i="5"/>
  <c r="G108" i="5"/>
  <c r="F108" i="5"/>
  <c r="E108" i="5"/>
  <c r="D108" i="5"/>
  <c r="C108" i="5"/>
  <c r="O107" i="5"/>
  <c r="N107" i="5"/>
  <c r="M107" i="5"/>
  <c r="L107" i="5"/>
  <c r="K107" i="5"/>
  <c r="J107" i="5"/>
  <c r="I107" i="5"/>
  <c r="H107" i="5"/>
  <c r="G107" i="5"/>
  <c r="F107" i="5"/>
  <c r="E107" i="5"/>
  <c r="D107" i="5"/>
  <c r="C107" i="5"/>
  <c r="O106" i="5"/>
  <c r="N106" i="5"/>
  <c r="M106" i="5"/>
  <c r="L106" i="5"/>
  <c r="K106" i="5"/>
  <c r="J106" i="5"/>
  <c r="I106" i="5"/>
  <c r="H106" i="5"/>
  <c r="G106" i="5"/>
  <c r="F106" i="5"/>
  <c r="E106" i="5"/>
  <c r="D106" i="5"/>
  <c r="C106" i="5"/>
  <c r="O105" i="5"/>
  <c r="N105" i="5"/>
  <c r="M105" i="5"/>
  <c r="L105" i="5"/>
  <c r="K105" i="5"/>
  <c r="J105" i="5"/>
  <c r="I105" i="5"/>
  <c r="H105" i="5"/>
  <c r="G105" i="5"/>
  <c r="F105" i="5"/>
  <c r="E105" i="5"/>
  <c r="D105" i="5"/>
  <c r="C105" i="5"/>
  <c r="O104" i="5"/>
  <c r="N104" i="5"/>
  <c r="M104" i="5"/>
  <c r="L104" i="5"/>
  <c r="K104" i="5"/>
  <c r="J104" i="5"/>
  <c r="I104" i="5"/>
  <c r="H104" i="5"/>
  <c r="G104" i="5"/>
  <c r="F104" i="5"/>
  <c r="E104" i="5"/>
  <c r="D104" i="5"/>
  <c r="C104" i="5"/>
  <c r="O103" i="5"/>
  <c r="N103" i="5"/>
  <c r="M103" i="5"/>
  <c r="L103" i="5"/>
  <c r="K103" i="5"/>
  <c r="J103" i="5"/>
  <c r="I103" i="5"/>
  <c r="H103" i="5"/>
  <c r="G103" i="5"/>
  <c r="F103" i="5"/>
  <c r="E103" i="5"/>
  <c r="D103" i="5"/>
  <c r="C103" i="5"/>
  <c r="O102" i="5"/>
  <c r="N102" i="5"/>
  <c r="M102" i="5"/>
  <c r="L102" i="5"/>
  <c r="K102" i="5"/>
  <c r="J102" i="5"/>
  <c r="I102" i="5"/>
  <c r="H102" i="5"/>
  <c r="G102" i="5"/>
  <c r="F102" i="5"/>
  <c r="E102" i="5"/>
  <c r="D102" i="5"/>
  <c r="C102" i="5"/>
  <c r="O101" i="5"/>
  <c r="N101" i="5"/>
  <c r="M101" i="5"/>
  <c r="L101" i="5"/>
  <c r="K101" i="5"/>
  <c r="J101" i="5"/>
  <c r="I101" i="5"/>
  <c r="H101" i="5"/>
  <c r="G101" i="5"/>
  <c r="F101" i="5"/>
  <c r="E101" i="5"/>
  <c r="D101" i="5"/>
  <c r="C101" i="5"/>
  <c r="O100" i="5"/>
  <c r="N100" i="5"/>
  <c r="M100" i="5"/>
  <c r="L100" i="5"/>
  <c r="K100" i="5"/>
  <c r="J100" i="5"/>
  <c r="I100" i="5"/>
  <c r="H100" i="5"/>
  <c r="G100" i="5"/>
  <c r="F100" i="5"/>
  <c r="E100" i="5"/>
  <c r="D100" i="5"/>
  <c r="C100" i="5"/>
  <c r="O99" i="5"/>
  <c r="N99" i="5"/>
  <c r="M99" i="5"/>
  <c r="L99" i="5"/>
  <c r="K99" i="5"/>
  <c r="J99" i="5"/>
  <c r="I99" i="5"/>
  <c r="H99" i="5"/>
  <c r="G99" i="5"/>
  <c r="F99" i="5"/>
  <c r="E99" i="5"/>
  <c r="D99" i="5"/>
  <c r="C99" i="5"/>
  <c r="O98" i="5"/>
  <c r="N98" i="5"/>
  <c r="M98" i="5"/>
  <c r="L98" i="5"/>
  <c r="K98" i="5"/>
  <c r="J98" i="5"/>
  <c r="I98" i="5"/>
  <c r="H98" i="5"/>
  <c r="G98" i="5"/>
  <c r="F98" i="5"/>
  <c r="E98" i="5"/>
  <c r="D98" i="5"/>
  <c r="C98" i="5"/>
  <c r="O97" i="5"/>
  <c r="N97" i="5"/>
  <c r="M97" i="5"/>
  <c r="L97" i="5"/>
  <c r="K97" i="5"/>
  <c r="J97" i="5"/>
  <c r="I97" i="5"/>
  <c r="H97" i="5"/>
  <c r="G97" i="5"/>
  <c r="F97" i="5"/>
  <c r="E97" i="5"/>
  <c r="D97" i="5"/>
  <c r="C97" i="5"/>
  <c r="O96" i="5"/>
  <c r="N96" i="5"/>
  <c r="M96" i="5"/>
  <c r="L96" i="5"/>
  <c r="K96" i="5"/>
  <c r="J96" i="5"/>
  <c r="I96" i="5"/>
  <c r="H96" i="5"/>
  <c r="G96" i="5"/>
  <c r="F96" i="5"/>
  <c r="E96" i="5"/>
  <c r="D96" i="5"/>
  <c r="C96" i="5"/>
  <c r="O95" i="5"/>
  <c r="N95" i="5"/>
  <c r="M95" i="5"/>
  <c r="L95" i="5"/>
  <c r="K95" i="5"/>
  <c r="J95" i="5"/>
  <c r="I95" i="5"/>
  <c r="H95" i="5"/>
  <c r="G95" i="5"/>
  <c r="F95" i="5"/>
  <c r="E95" i="5"/>
  <c r="D95" i="5"/>
  <c r="C95" i="5"/>
  <c r="O94" i="5"/>
  <c r="N94" i="5"/>
  <c r="M94" i="5"/>
  <c r="L94" i="5"/>
  <c r="K94" i="5"/>
  <c r="J94" i="5"/>
  <c r="I94" i="5"/>
  <c r="H94" i="5"/>
  <c r="G94" i="5"/>
  <c r="F94" i="5"/>
  <c r="E94" i="5"/>
  <c r="D94" i="5"/>
  <c r="C94" i="5"/>
  <c r="O93" i="5"/>
  <c r="N93" i="5"/>
  <c r="M93" i="5"/>
  <c r="L93" i="5"/>
  <c r="K93" i="5"/>
  <c r="J93" i="5"/>
  <c r="I93" i="5"/>
  <c r="H93" i="5"/>
  <c r="G93" i="5"/>
  <c r="F93" i="5"/>
  <c r="E93" i="5"/>
  <c r="D93" i="5"/>
  <c r="C93" i="5"/>
  <c r="O92" i="5"/>
  <c r="N92" i="5"/>
  <c r="M92" i="5"/>
  <c r="L92" i="5"/>
  <c r="K92" i="5"/>
  <c r="J92" i="5"/>
  <c r="I92" i="5"/>
  <c r="H92" i="5"/>
  <c r="G92" i="5"/>
  <c r="F92" i="5"/>
  <c r="E92" i="5"/>
  <c r="D92" i="5"/>
  <c r="C92" i="5"/>
  <c r="O91" i="5"/>
  <c r="N91" i="5"/>
  <c r="M91" i="5"/>
  <c r="L91" i="5"/>
  <c r="K91" i="5"/>
  <c r="J91" i="5"/>
  <c r="I91" i="5"/>
  <c r="H91" i="5"/>
  <c r="G91" i="5"/>
  <c r="F91" i="5"/>
  <c r="E91" i="5"/>
  <c r="D91" i="5"/>
  <c r="C91" i="5"/>
  <c r="O90" i="5"/>
  <c r="N90" i="5"/>
  <c r="M90" i="5"/>
  <c r="L90" i="5"/>
  <c r="K90" i="5"/>
  <c r="J90" i="5"/>
  <c r="I90" i="5"/>
  <c r="H90" i="5"/>
  <c r="G90" i="5"/>
  <c r="F90" i="5"/>
  <c r="E90" i="5"/>
  <c r="D90" i="5"/>
  <c r="C90" i="5"/>
  <c r="O89" i="5"/>
  <c r="N89" i="5"/>
  <c r="M89" i="5"/>
  <c r="L89" i="5"/>
  <c r="K89" i="5"/>
  <c r="J89" i="5"/>
  <c r="I89" i="5"/>
  <c r="H89" i="5"/>
  <c r="G89" i="5"/>
  <c r="F89" i="5"/>
  <c r="E89" i="5"/>
  <c r="D89" i="5"/>
  <c r="C89" i="5"/>
  <c r="O88" i="5"/>
  <c r="N88" i="5"/>
  <c r="M88" i="5"/>
  <c r="L88" i="5"/>
  <c r="K88" i="5"/>
  <c r="J88" i="5"/>
  <c r="I88" i="5"/>
  <c r="H88" i="5"/>
  <c r="G88" i="5"/>
  <c r="F88" i="5"/>
  <c r="E88" i="5"/>
  <c r="D88" i="5"/>
  <c r="C88" i="5"/>
  <c r="O87" i="5"/>
  <c r="N87" i="5"/>
  <c r="M87" i="5"/>
  <c r="L87" i="5"/>
  <c r="K87" i="5"/>
  <c r="J87" i="5"/>
  <c r="I87" i="5"/>
  <c r="H87" i="5"/>
  <c r="G87" i="5"/>
  <c r="F87" i="5"/>
  <c r="E87" i="5"/>
  <c r="D87" i="5"/>
  <c r="C87" i="5"/>
  <c r="O86" i="5"/>
  <c r="N86" i="5"/>
  <c r="M86" i="5"/>
  <c r="L86" i="5"/>
  <c r="K86" i="5"/>
  <c r="J86" i="5"/>
  <c r="I86" i="5"/>
  <c r="H86" i="5"/>
  <c r="G86" i="5"/>
  <c r="F86" i="5"/>
  <c r="E86" i="5"/>
  <c r="D86" i="5"/>
  <c r="C86" i="5"/>
  <c r="O85" i="5"/>
  <c r="N85" i="5"/>
  <c r="M85" i="5"/>
  <c r="L85" i="5"/>
  <c r="K85" i="5"/>
  <c r="J85" i="5"/>
  <c r="I85" i="5"/>
  <c r="H85" i="5"/>
  <c r="G85" i="5"/>
  <c r="F85" i="5"/>
  <c r="E85" i="5"/>
  <c r="D85" i="5"/>
  <c r="C85" i="5"/>
  <c r="O84" i="5"/>
  <c r="N84" i="5"/>
  <c r="M84" i="5"/>
  <c r="L84" i="5"/>
  <c r="K84" i="5"/>
  <c r="J84" i="5"/>
  <c r="I84" i="5"/>
  <c r="H84" i="5"/>
  <c r="G84" i="5"/>
  <c r="F84" i="5"/>
  <c r="E84" i="5"/>
  <c r="D84" i="5"/>
  <c r="C84" i="5"/>
  <c r="O83" i="5"/>
  <c r="N83" i="5"/>
  <c r="M83" i="5"/>
  <c r="L83" i="5"/>
  <c r="K83" i="5"/>
  <c r="J83" i="5"/>
  <c r="I83" i="5"/>
  <c r="H83" i="5"/>
  <c r="G83" i="5"/>
  <c r="F83" i="5"/>
  <c r="E83" i="5"/>
  <c r="D83" i="5"/>
  <c r="C83" i="5"/>
  <c r="O82" i="5"/>
  <c r="N82" i="5"/>
  <c r="M82" i="5"/>
  <c r="L82" i="5"/>
  <c r="K82" i="5"/>
  <c r="J82" i="5"/>
  <c r="I82" i="5"/>
  <c r="H82" i="5"/>
  <c r="G82" i="5"/>
  <c r="F82" i="5"/>
  <c r="E82" i="5"/>
  <c r="D82" i="5"/>
  <c r="C82" i="5"/>
  <c r="O81" i="5"/>
  <c r="N81" i="5"/>
  <c r="M81" i="5"/>
  <c r="L81" i="5"/>
  <c r="K81" i="5"/>
  <c r="J81" i="5"/>
  <c r="I81" i="5"/>
  <c r="H81" i="5"/>
  <c r="G81" i="5"/>
  <c r="F81" i="5"/>
  <c r="E81" i="5"/>
  <c r="D81" i="5"/>
  <c r="C81" i="5"/>
  <c r="O80" i="5"/>
  <c r="N80" i="5"/>
  <c r="M80" i="5"/>
  <c r="L80" i="5"/>
  <c r="K80" i="5"/>
  <c r="J80" i="5"/>
  <c r="I80" i="5"/>
  <c r="H80" i="5"/>
  <c r="G80" i="5"/>
  <c r="F80" i="5"/>
  <c r="E80" i="5"/>
  <c r="D80" i="5"/>
  <c r="C80" i="5"/>
  <c r="O79" i="5"/>
  <c r="N79" i="5"/>
  <c r="M79" i="5"/>
  <c r="L79" i="5"/>
  <c r="K79" i="5"/>
  <c r="J79" i="5"/>
  <c r="I79" i="5"/>
  <c r="H79" i="5"/>
  <c r="G79" i="5"/>
  <c r="F79" i="5"/>
  <c r="E79" i="5"/>
  <c r="D79" i="5"/>
  <c r="C79" i="5"/>
  <c r="O78" i="5"/>
  <c r="N78" i="5"/>
  <c r="M78" i="5"/>
  <c r="L78" i="5"/>
  <c r="K78" i="5"/>
  <c r="J78" i="5"/>
  <c r="I78" i="5"/>
  <c r="H78" i="5"/>
  <c r="G78" i="5"/>
  <c r="F78" i="5"/>
  <c r="E78" i="5"/>
  <c r="D78" i="5"/>
  <c r="C78" i="5"/>
  <c r="O77" i="5"/>
  <c r="N77" i="5"/>
  <c r="M77" i="5"/>
  <c r="L77" i="5"/>
  <c r="K77" i="5"/>
  <c r="J77" i="5"/>
  <c r="I77" i="5"/>
  <c r="H77" i="5"/>
  <c r="G77" i="5"/>
  <c r="F77" i="5"/>
  <c r="E77" i="5"/>
  <c r="D77" i="5"/>
  <c r="C77" i="5"/>
  <c r="O76" i="5"/>
  <c r="N76" i="5"/>
  <c r="M76" i="5"/>
  <c r="L76" i="5"/>
  <c r="K76" i="5"/>
  <c r="J76" i="5"/>
  <c r="I76" i="5"/>
  <c r="H76" i="5"/>
  <c r="G76" i="5"/>
  <c r="F76" i="5"/>
  <c r="E76" i="5"/>
  <c r="D76" i="5"/>
  <c r="C76" i="5"/>
  <c r="O75" i="5"/>
  <c r="N75" i="5"/>
  <c r="M75" i="5"/>
  <c r="L75" i="5"/>
  <c r="K75" i="5"/>
  <c r="J75" i="5"/>
  <c r="I75" i="5"/>
  <c r="H75" i="5"/>
  <c r="G75" i="5"/>
  <c r="F75" i="5"/>
  <c r="E75" i="5"/>
  <c r="D75" i="5"/>
  <c r="C75" i="5"/>
  <c r="O74" i="5"/>
  <c r="N74" i="5"/>
  <c r="M74" i="5"/>
  <c r="L74" i="5"/>
  <c r="K74" i="5"/>
  <c r="J74" i="5"/>
  <c r="I74" i="5"/>
  <c r="H74" i="5"/>
  <c r="G74" i="5"/>
  <c r="F74" i="5"/>
  <c r="E74" i="5"/>
  <c r="D74" i="5"/>
  <c r="C74" i="5"/>
  <c r="AH22" i="15"/>
  <c r="AG22" i="15"/>
  <c r="AH21" i="15"/>
  <c r="AG21" i="15"/>
  <c r="AH20" i="15"/>
  <c r="AG20" i="15"/>
  <c r="AH19" i="15"/>
  <c r="AG19" i="15"/>
  <c r="AH7" i="15"/>
  <c r="AG7" i="15"/>
  <c r="AF22" i="15"/>
  <c r="E273" i="1"/>
  <c r="E272" i="1"/>
  <c r="E266" i="1" s="1"/>
  <c r="E271" i="1"/>
  <c r="E201" i="1"/>
  <c r="P79" i="5" l="1"/>
  <c r="P18" i="5" s="1"/>
  <c r="P91" i="5"/>
  <c r="P30" i="5" s="1"/>
  <c r="P103" i="5"/>
  <c r="P42" i="5" s="1"/>
  <c r="P115" i="5"/>
  <c r="P54" i="5" s="1"/>
  <c r="P80" i="5"/>
  <c r="P19" i="5" s="1"/>
  <c r="P92" i="5"/>
  <c r="P31" i="5" s="1"/>
  <c r="P104" i="5"/>
  <c r="P43" i="5" s="1"/>
  <c r="P116" i="5"/>
  <c r="P55" i="5" s="1"/>
  <c r="P81" i="5"/>
  <c r="P20" i="5" s="1"/>
  <c r="P93" i="5"/>
  <c r="P32" i="5" s="1"/>
  <c r="P105" i="5"/>
  <c r="P44" i="5" s="1"/>
  <c r="P117" i="5"/>
  <c r="P56" i="5" s="1"/>
  <c r="P75" i="5"/>
  <c r="P14" i="5" s="1"/>
  <c r="P76" i="5"/>
  <c r="P15" i="5" s="1"/>
  <c r="P77" i="5"/>
  <c r="P16" i="5" s="1"/>
  <c r="P78" i="5"/>
  <c r="P17" i="5" s="1"/>
  <c r="P89" i="5"/>
  <c r="P28" i="5" s="1"/>
  <c r="P90" i="5"/>
  <c r="P29" i="5" s="1"/>
  <c r="P101" i="5"/>
  <c r="P40" i="5" s="1"/>
  <c r="P102" i="5"/>
  <c r="P41" i="5" s="1"/>
  <c r="P111" i="5"/>
  <c r="P50" i="5" s="1"/>
  <c r="P112" i="5"/>
  <c r="P51" i="5" s="1"/>
  <c r="P113" i="5"/>
  <c r="P52" i="5" s="1"/>
  <c r="P114" i="5"/>
  <c r="P53" i="5" s="1"/>
  <c r="P106" i="5"/>
  <c r="P45" i="5" s="1"/>
  <c r="P107" i="5"/>
  <c r="P46" i="5" s="1"/>
  <c r="P108" i="5"/>
  <c r="P47" i="5" s="1"/>
  <c r="P85" i="5"/>
  <c r="P24" i="5" s="1"/>
  <c r="F54" i="17" s="1"/>
  <c r="P97" i="5"/>
  <c r="P36" i="5" s="1"/>
  <c r="P109" i="5"/>
  <c r="P48" i="5" s="1"/>
  <c r="P74" i="5"/>
  <c r="P13" i="5" s="1"/>
  <c r="P86" i="5"/>
  <c r="P25" i="5" s="1"/>
  <c r="F55" i="17" s="1"/>
  <c r="P98" i="5"/>
  <c r="P37" i="5" s="1"/>
  <c r="E293" i="1"/>
  <c r="F11" i="17"/>
  <c r="E11" i="17" s="1"/>
  <c r="E269" i="1"/>
  <c r="P83" i="5"/>
  <c r="P22" i="5" s="1"/>
  <c r="P95" i="5"/>
  <c r="P34" i="5" s="1"/>
  <c r="P119" i="5"/>
  <c r="P58" i="5" s="1"/>
  <c r="P82" i="5"/>
  <c r="P21" i="5" s="1"/>
  <c r="P94" i="5"/>
  <c r="P33" i="5" s="1"/>
  <c r="P118" i="5"/>
  <c r="P57" i="5" s="1"/>
  <c r="P84" i="5"/>
  <c r="P23" i="5" s="1"/>
  <c r="P96" i="5"/>
  <c r="P35" i="5" s="1"/>
  <c r="P120" i="5"/>
  <c r="P59" i="5" s="1"/>
  <c r="P87" i="5"/>
  <c r="P26" i="5" s="1"/>
  <c r="P99" i="5"/>
  <c r="P38" i="5" s="1"/>
  <c r="P88" i="5"/>
  <c r="P27" i="5" s="1"/>
  <c r="P100" i="5"/>
  <c r="P39" i="5" s="1"/>
  <c r="F53" i="17" l="1"/>
  <c r="E53" i="17" s="1"/>
  <c r="G189" i="17"/>
  <c r="E55" i="17"/>
  <c r="G190" i="17"/>
  <c r="E54" i="17"/>
  <c r="D5" i="3"/>
  <c r="E5" i="3" s="1"/>
  <c r="F5" i="3" s="1"/>
  <c r="E175" i="1"/>
  <c r="E176" i="1"/>
  <c r="E177" i="1"/>
  <c r="AE22" i="15"/>
  <c r="AD22" i="15"/>
  <c r="AC22" i="15"/>
  <c r="AB22" i="15"/>
  <c r="AA22" i="15"/>
  <c r="Z22" i="15"/>
  <c r="Y22" i="15"/>
  <c r="X22" i="15"/>
  <c r="W22" i="15"/>
  <c r="V22" i="15"/>
  <c r="U22" i="15"/>
  <c r="T22" i="15"/>
  <c r="S22" i="15"/>
  <c r="R22" i="15"/>
  <c r="Q22" i="15"/>
  <c r="P22" i="15"/>
  <c r="O22" i="15"/>
  <c r="N22" i="15"/>
  <c r="M22" i="15"/>
  <c r="E21" i="14"/>
  <c r="D21" i="14"/>
  <c r="E129" i="1"/>
  <c r="E190" i="17" l="1"/>
  <c r="C72" i="26"/>
  <c r="C100" i="26"/>
  <c r="E189" i="17"/>
  <c r="C99" i="26"/>
  <c r="C71" i="26"/>
  <c r="E188" i="17"/>
  <c r="E178" i="1"/>
  <c r="E140" i="1"/>
  <c r="E139" i="1"/>
  <c r="E134" i="1"/>
  <c r="E133" i="1" s="1"/>
  <c r="E158" i="1"/>
  <c r="E121" i="1"/>
  <c r="E118" i="1"/>
  <c r="F18" i="17" s="1"/>
  <c r="E117" i="1"/>
  <c r="E113" i="1"/>
  <c r="E200" i="1" s="1"/>
  <c r="E112" i="1"/>
  <c r="E161" i="1" l="1"/>
  <c r="E162" i="1"/>
  <c r="E186" i="1"/>
  <c r="E187" i="1"/>
  <c r="E236" i="1" s="1"/>
  <c r="E18" i="17"/>
  <c r="F17" i="17"/>
  <c r="E291" i="1"/>
  <c r="F10" i="17"/>
  <c r="E10" i="17" s="1"/>
  <c r="E298" i="1"/>
  <c r="E286" i="1" s="1"/>
  <c r="E138" i="1"/>
  <c r="E143" i="1" s="1"/>
  <c r="E153" i="1" s="1"/>
  <c r="E218" i="1" s="1"/>
  <c r="E297" i="1"/>
  <c r="E199" i="1"/>
  <c r="F9" i="17" s="1"/>
  <c r="E116" i="1"/>
  <c r="E207" i="1" s="1"/>
  <c r="F8" i="17" l="1"/>
  <c r="E9" i="17"/>
  <c r="E17" i="17"/>
  <c r="E285" i="1"/>
  <c r="E198" i="1"/>
  <c r="E249" i="1" s="1"/>
  <c r="E290" i="1"/>
  <c r="E235" i="1"/>
  <c r="E234" i="1" s="1"/>
  <c r="E185" i="1"/>
  <c r="E154" i="1"/>
  <c r="E147" i="1"/>
  <c r="E144" i="1"/>
  <c r="E159" i="1" s="1"/>
  <c r="E8" i="17" l="1"/>
  <c r="F161" i="17"/>
  <c r="E155" i="1"/>
  <c r="F26" i="17"/>
  <c r="E26" i="17" s="1"/>
  <c r="E284" i="1"/>
  <c r="E289" i="1"/>
  <c r="E150" i="1"/>
  <c r="E152" i="1" s="1"/>
  <c r="G44" i="17" s="1"/>
  <c r="E160" i="1"/>
  <c r="E163" i="1" s="1"/>
  <c r="E146" i="1"/>
  <c r="G25" i="17" s="1"/>
  <c r="G24" i="17" s="1"/>
  <c r="E145" i="1"/>
  <c r="F25" i="17" s="1"/>
  <c r="F182" i="17" s="1"/>
  <c r="C82" i="26" s="1"/>
  <c r="E184" i="1" l="1"/>
  <c r="E233" i="1" s="1"/>
  <c r="F179" i="17"/>
  <c r="E25" i="17"/>
  <c r="E120" i="17" s="1"/>
  <c r="F24" i="17"/>
  <c r="F145" i="17" s="1"/>
  <c r="E151" i="1"/>
  <c r="F44" i="17" s="1"/>
  <c r="E44" i="17" s="1"/>
  <c r="F46" i="17" s="1"/>
  <c r="G42" i="17"/>
  <c r="G41" i="17" s="1"/>
  <c r="E192" i="1"/>
  <c r="E241" i="1" s="1"/>
  <c r="E191" i="1"/>
  <c r="E240" i="1" s="1"/>
  <c r="E103" i="1"/>
  <c r="E197" i="1" s="1"/>
  <c r="F7" i="17" s="1"/>
  <c r="E193" i="1" l="1"/>
  <c r="G46" i="17"/>
  <c r="G181" i="17"/>
  <c r="E7" i="17"/>
  <c r="F160" i="17"/>
  <c r="E24" i="17"/>
  <c r="E145" i="17"/>
  <c r="F135" i="17"/>
  <c r="E135" i="17" s="1"/>
  <c r="F134" i="17"/>
  <c r="F131" i="17"/>
  <c r="F130" i="17"/>
  <c r="F203" i="17" s="1"/>
  <c r="C116" i="26" s="1"/>
  <c r="F132" i="17"/>
  <c r="F42" i="17"/>
  <c r="F45" i="17"/>
  <c r="E248" i="1"/>
  <c r="E86" i="1"/>
  <c r="E88" i="1"/>
  <c r="E89" i="1"/>
  <c r="E83" i="1"/>
  <c r="O20" i="7"/>
  <c r="O19" i="7"/>
  <c r="O18" i="7"/>
  <c r="O17" i="7"/>
  <c r="O16" i="7"/>
  <c r="O15" i="7"/>
  <c r="O14" i="7"/>
  <c r="O13" i="7"/>
  <c r="O12" i="7"/>
  <c r="O11" i="7"/>
  <c r="O10" i="7"/>
  <c r="O9" i="7"/>
  <c r="O8" i="7"/>
  <c r="E75" i="1"/>
  <c r="E95" i="1" s="1"/>
  <c r="E76" i="1"/>
  <c r="E96" i="1" s="1"/>
  <c r="E58" i="1"/>
  <c r="E54" i="1"/>
  <c r="E67" i="1"/>
  <c r="E65" i="1"/>
  <c r="E66" i="1"/>
  <c r="E69" i="1"/>
  <c r="E68" i="1" s="1"/>
  <c r="E39" i="1"/>
  <c r="E40" i="1" s="1"/>
  <c r="E56" i="1"/>
  <c r="E57" i="1"/>
  <c r="E52" i="1"/>
  <c r="E53" i="1"/>
  <c r="E60" i="1"/>
  <c r="E59" i="1" s="1"/>
  <c r="E279" i="1" s="1"/>
  <c r="E267" i="1" s="1"/>
  <c r="E181" i="17" l="1"/>
  <c r="C67" i="26"/>
  <c r="C95" i="26"/>
  <c r="E131" i="17"/>
  <c r="F204" i="17"/>
  <c r="E203" i="17"/>
  <c r="C109" i="26" s="1"/>
  <c r="E42" i="17"/>
  <c r="G45" i="17"/>
  <c r="G47" i="17" s="1"/>
  <c r="G180" i="17"/>
  <c r="F151" i="17"/>
  <c r="E132" i="17"/>
  <c r="E130" i="17"/>
  <c r="F129" i="17"/>
  <c r="F147" i="17" s="1"/>
  <c r="E134" i="17"/>
  <c r="F133" i="17"/>
  <c r="F47" i="17"/>
  <c r="G182" i="17" s="1"/>
  <c r="E90" i="1"/>
  <c r="E51" i="1"/>
  <c r="E276" i="1" s="1"/>
  <c r="E55" i="1"/>
  <c r="E277" i="1" s="1"/>
  <c r="E265" i="1" s="1"/>
  <c r="E64" i="1"/>
  <c r="E63" i="1" s="1"/>
  <c r="E208" i="1" s="1"/>
  <c r="F19" i="17" s="1"/>
  <c r="E84" i="1"/>
  <c r="E15" i="1"/>
  <c r="E14" i="1"/>
  <c r="E9" i="1"/>
  <c r="E11" i="1" s="1"/>
  <c r="E5" i="1"/>
  <c r="E213" i="1" s="1"/>
  <c r="C94" i="26" l="1"/>
  <c r="C66" i="26"/>
  <c r="E182" i="17"/>
  <c r="C68" i="26"/>
  <c r="C96" i="26"/>
  <c r="E204" i="17"/>
  <c r="C110" i="26" s="1"/>
  <c r="C117" i="26"/>
  <c r="F202" i="17"/>
  <c r="E202" i="17" s="1"/>
  <c r="E19" i="17"/>
  <c r="F16" i="17"/>
  <c r="E151" i="17"/>
  <c r="F213" i="17"/>
  <c r="G179" i="17"/>
  <c r="E179" i="17" s="1"/>
  <c r="E180" i="17"/>
  <c r="E47" i="17"/>
  <c r="E133" i="17"/>
  <c r="E129" i="17"/>
  <c r="E147" i="17"/>
  <c r="E5" i="16"/>
  <c r="E275" i="1"/>
  <c r="E264" i="1"/>
  <c r="E263" i="1" s="1"/>
  <c r="E206" i="1"/>
  <c r="E253" i="1" s="1"/>
  <c r="E245" i="1" s="1"/>
  <c r="E299" i="1"/>
  <c r="E225" i="1"/>
  <c r="E256" i="1" s="1"/>
  <c r="E20" i="1"/>
  <c r="E214" i="1" s="1"/>
  <c r="E226" i="1" s="1"/>
  <c r="E257" i="1" s="1"/>
  <c r="E50" i="1"/>
  <c r="E72" i="1" s="1"/>
  <c r="E91" i="1"/>
  <c r="E98" i="1" s="1"/>
  <c r="E21" i="1"/>
  <c r="F200" i="17" l="1"/>
  <c r="E200" i="17" s="1"/>
  <c r="E16" i="17"/>
  <c r="G161" i="17"/>
  <c r="E161" i="17" s="1"/>
  <c r="E205" i="1"/>
  <c r="E78" i="1"/>
  <c r="E79" i="1" s="1"/>
  <c r="E295" i="1"/>
  <c r="E283" i="1" s="1"/>
  <c r="E287" i="1"/>
  <c r="E242" i="1"/>
  <c r="E255" i="1"/>
  <c r="E100" i="1"/>
  <c r="G12" i="17" s="1"/>
  <c r="G6" i="17" s="1"/>
  <c r="F149" i="17" s="1"/>
  <c r="E99" i="1"/>
  <c r="E92" i="1"/>
  <c r="E17" i="1"/>
  <c r="E24" i="1" s="1"/>
  <c r="E28" i="1" s="1"/>
  <c r="E149" i="17" l="1"/>
  <c r="F12" i="17"/>
  <c r="E202" i="1"/>
  <c r="E252" i="1"/>
  <c r="E244" i="1" s="1"/>
  <c r="F15" i="17"/>
  <c r="E209" i="1"/>
  <c r="E204" i="1" s="1"/>
  <c r="F20" i="17"/>
  <c r="G162" i="17" s="1"/>
  <c r="E80" i="1"/>
  <c r="G20" i="17" s="1"/>
  <c r="G14" i="17" s="1"/>
  <c r="G212" i="17" s="1"/>
  <c r="E237" i="1"/>
  <c r="E232" i="1" s="1"/>
  <c r="E34" i="16" s="1"/>
  <c r="E38" i="16" s="1"/>
  <c r="E46" i="16" s="1"/>
  <c r="E44" i="16" s="1"/>
  <c r="E42" i="16" s="1"/>
  <c r="E25" i="1"/>
  <c r="E9" i="16"/>
  <c r="E50" i="16" s="1"/>
  <c r="E15" i="17" l="1"/>
  <c r="G160" i="17"/>
  <c r="E12" i="17"/>
  <c r="F162" i="17"/>
  <c r="E20" i="17"/>
  <c r="F102" i="17"/>
  <c r="G176" i="17" s="1"/>
  <c r="F101" i="17"/>
  <c r="G175" i="17" s="1"/>
  <c r="F97" i="17"/>
  <c r="G170" i="17" s="1"/>
  <c r="C61" i="26" s="1"/>
  <c r="F100" i="17"/>
  <c r="F88" i="17"/>
  <c r="F173" i="17" s="1"/>
  <c r="C55" i="26" s="1"/>
  <c r="E254" i="1"/>
  <c r="E251" i="1" s="1"/>
  <c r="E250" i="1"/>
  <c r="E247" i="1" s="1"/>
  <c r="E196" i="1"/>
  <c r="F14" i="17"/>
  <c r="E29" i="1"/>
  <c r="E10" i="16" s="1"/>
  <c r="E11" i="16" s="1"/>
  <c r="E215" i="1"/>
  <c r="E216" i="1" l="1"/>
  <c r="E221" i="1"/>
  <c r="F51" i="17" s="1"/>
  <c r="E51" i="17" s="1"/>
  <c r="E222" i="1"/>
  <c r="F52" i="17" s="1"/>
  <c r="E52" i="17" s="1"/>
  <c r="G174" i="17"/>
  <c r="C65" i="26" s="1"/>
  <c r="F159" i="17"/>
  <c r="E162" i="17"/>
  <c r="G159" i="17"/>
  <c r="E160" i="17"/>
  <c r="E100" i="17"/>
  <c r="G173" i="17"/>
  <c r="F6" i="17"/>
  <c r="E14" i="17"/>
  <c r="E88" i="17"/>
  <c r="F76" i="17"/>
  <c r="E97" i="17"/>
  <c r="F93" i="17"/>
  <c r="G166" i="17" s="1"/>
  <c r="F85" i="17"/>
  <c r="F170" i="17" s="1"/>
  <c r="F89" i="17"/>
  <c r="F175" i="17" s="1"/>
  <c r="E175" i="17" s="1"/>
  <c r="E101" i="17"/>
  <c r="F176" i="17"/>
  <c r="E176" i="17" s="1"/>
  <c r="E102" i="17"/>
  <c r="E246" i="1"/>
  <c r="E243" i="1" s="1"/>
  <c r="E231" i="1" s="1"/>
  <c r="E258" i="1" s="1"/>
  <c r="E6" i="17"/>
  <c r="E8" i="16"/>
  <c r="E228" i="1"/>
  <c r="E227" i="1"/>
  <c r="E212" i="1"/>
  <c r="E224" i="1" s="1"/>
  <c r="E173" i="17" l="1"/>
  <c r="C46" i="26" s="1"/>
  <c r="C64" i="26"/>
  <c r="E170" i="17"/>
  <c r="C43" i="26" s="1"/>
  <c r="C52" i="26"/>
  <c r="G186" i="17"/>
  <c r="E186" i="17" s="1"/>
  <c r="F48" i="17"/>
  <c r="F41" i="17" s="1"/>
  <c r="E41" i="17" s="1"/>
  <c r="G187" i="17"/>
  <c r="G165" i="17"/>
  <c r="G163" i="17" s="1"/>
  <c r="G158" i="17" s="1"/>
  <c r="F141" i="17"/>
  <c r="E141" i="17" s="1"/>
  <c r="E76" i="17"/>
  <c r="E159" i="17"/>
  <c r="F174" i="17"/>
  <c r="E90" i="17"/>
  <c r="E78" i="17" s="1"/>
  <c r="F77" i="17"/>
  <c r="E89" i="17"/>
  <c r="E77" i="17" s="1"/>
  <c r="E93" i="17"/>
  <c r="F92" i="17"/>
  <c r="E92" i="17" s="1"/>
  <c r="E85" i="17"/>
  <c r="E73" i="17" s="1"/>
  <c r="F73" i="17"/>
  <c r="F81" i="17"/>
  <c r="F166" i="17" s="1"/>
  <c r="E12" i="16"/>
  <c r="E52" i="16" s="1"/>
  <c r="E51" i="16"/>
  <c r="E174" i="17" l="1"/>
  <c r="C47" i="26" s="1"/>
  <c r="C56" i="26"/>
  <c r="E187" i="17"/>
  <c r="C98" i="26"/>
  <c r="C70" i="26"/>
  <c r="C69" i="26"/>
  <c r="C97" i="26"/>
  <c r="G177" i="17"/>
  <c r="G157" i="17" s="1"/>
  <c r="E48" i="17"/>
  <c r="G183" i="17"/>
  <c r="E178" i="17" s="1"/>
  <c r="F165" i="17"/>
  <c r="E166" i="17"/>
  <c r="F69" i="17"/>
  <c r="F80" i="17"/>
  <c r="F143" i="17" s="1"/>
  <c r="E81" i="17"/>
  <c r="E69" i="17" s="1"/>
  <c r="E49" i="16"/>
  <c r="E48" i="16" s="1"/>
  <c r="E183" i="17" l="1"/>
  <c r="G198" i="17"/>
  <c r="F163" i="17"/>
  <c r="E165" i="17"/>
  <c r="E143" i="17"/>
  <c r="F140" i="17"/>
  <c r="F68" i="17"/>
  <c r="E80" i="17"/>
  <c r="E68" i="17" s="1"/>
  <c r="G199" i="17" l="1"/>
  <c r="C79" i="26"/>
  <c r="C107" i="26"/>
  <c r="F144" i="17"/>
  <c r="G205" i="17"/>
  <c r="G156" i="17"/>
  <c r="E163" i="17"/>
  <c r="F158" i="17"/>
  <c r="E140" i="17"/>
  <c r="G209" i="17" l="1"/>
  <c r="C128" i="26" s="1"/>
  <c r="C125" i="26"/>
  <c r="E158" i="17"/>
  <c r="F146" i="17"/>
  <c r="E144" i="17"/>
  <c r="F148" i="17" l="1"/>
  <c r="F152" i="17" s="1"/>
  <c r="F212" i="17" s="1"/>
  <c r="F177" i="17" s="1"/>
  <c r="F198" i="17" s="1"/>
  <c r="E146" i="17"/>
  <c r="F199" i="17" l="1"/>
  <c r="F205" i="17" s="1"/>
  <c r="C118" i="26" s="1"/>
  <c r="C93" i="26"/>
  <c r="E148" i="17"/>
  <c r="E152" i="17"/>
  <c r="E212" i="17" l="1"/>
  <c r="E177" i="17" l="1"/>
  <c r="F157" i="17"/>
  <c r="E157" i="17" l="1"/>
  <c r="E198" i="17"/>
  <c r="E199" i="17" l="1"/>
  <c r="F156" i="17"/>
  <c r="E156" i="17" s="1"/>
  <c r="E47" i="16" l="1"/>
  <c r="E205" i="17"/>
  <c r="C111" i="26" s="1"/>
  <c r="F209" i="17"/>
  <c r="E209" i="17" l="1"/>
  <c r="C114" i="26" s="1"/>
  <c r="C121" i="26"/>
  <c r="E56" i="16"/>
  <c r="C136" i="26" s="1"/>
  <c r="E41" i="16"/>
</calcChain>
</file>

<file path=xl/sharedStrings.xml><?xml version="1.0" encoding="utf-8"?>
<sst xmlns="http://schemas.openxmlformats.org/spreadsheetml/2006/main" count="1907" uniqueCount="1074">
  <si>
    <t>Step 1. Copy Compensation of Employees from BEA Primary Income Regional Accounts.</t>
  </si>
  <si>
    <t>Copy compensation of employees</t>
  </si>
  <si>
    <t>Personal Income (USD Million), BEA: Hawai`i,1997-2022</t>
  </si>
  <si>
    <t>Source: BEA, 2023, Regional Economic Accounts</t>
  </si>
  <si>
    <t>Personal income</t>
  </si>
  <si>
    <t>Compensation of employees</t>
  </si>
  <si>
    <t>Wages and salaries</t>
  </si>
  <si>
    <t>Supplements to wages and salaries</t>
  </si>
  <si>
    <t>Employer contributions for employee pension and insurance funds</t>
  </si>
  <si>
    <t>Employer contributions for government social insurance</t>
  </si>
  <si>
    <t>Proprietor's income</t>
  </si>
  <si>
    <t>Dividends, interests and rents</t>
  </si>
  <si>
    <t>Personal dividend income</t>
  </si>
  <si>
    <t>Personal interest income</t>
  </si>
  <si>
    <t>Imputed interest receipts</t>
  </si>
  <si>
    <t>Monetary interest receipts</t>
  </si>
  <si>
    <t>Rental income of persons</t>
  </si>
  <si>
    <t>Imputed rent</t>
  </si>
  <si>
    <t>Monetary rent</t>
  </si>
  <si>
    <t>Personal current transfer receipts</t>
  </si>
  <si>
    <t>Income maintenance benefits</t>
  </si>
  <si>
    <t>Unemployment insurance compensation</t>
  </si>
  <si>
    <t>Retirement and others</t>
  </si>
  <si>
    <t>Less: Contributions for government social insurance*</t>
  </si>
  <si>
    <t>Employee and self-employed contributions for government social insurance</t>
  </si>
  <si>
    <t>https://www.bea.gov/data/gdp/gdp-state</t>
  </si>
  <si>
    <t>* Employer contributions for government social insurance are included in earnings by industry and earnings by place of work, but they are excluded from net earnings by place of residence and personal income. Employee and self-employed contributions are subtractions in the calculation of net earnings by place of residence and all of the income measures.</t>
  </si>
  <si>
    <t>Gross Domestic Product (USD million), DBEDT: Hawai`i,1997-2017</t>
  </si>
  <si>
    <t>Source: DBEDT, various years. Input-output transaction tables</t>
  </si>
  <si>
    <t>Gross Domestic Expenditures</t>
  </si>
  <si>
    <t>Personal consumption expenditure</t>
  </si>
  <si>
    <t>Visitors' consumption expenditure</t>
  </si>
  <si>
    <t>Gross private investment and change in inventories</t>
  </si>
  <si>
    <t>State and local government*</t>
  </si>
  <si>
    <t>Federal government: Military*</t>
  </si>
  <si>
    <t>Federal government: Civilian*</t>
  </si>
  <si>
    <t>Net exports</t>
  </si>
  <si>
    <t>Exports</t>
  </si>
  <si>
    <t>Less: Imports</t>
  </si>
  <si>
    <t>Gross Domestic Income</t>
  </si>
  <si>
    <t>Proprietors' income</t>
  </si>
  <si>
    <t>Taxes on products and imports less subsidies</t>
  </si>
  <si>
    <t>Other capital costs</t>
  </si>
  <si>
    <t>Statistical discrepancy**</t>
  </si>
  <si>
    <t>* Final consumption expenditure, investments and change in inventories</t>
  </si>
  <si>
    <t>** Derived</t>
  </si>
  <si>
    <t>http://dbedt.hawaii.gov/economic/reports_studies/input-output/</t>
  </si>
  <si>
    <t>Step 2. Estimate gross capital formation, consumption of fixed capital, and labor share of mixed income. Subtract consumption of fixed capital from capital share of mixed income and from gross operating surplus.</t>
  </si>
  <si>
    <t>Proprietors' (Mixed) Income</t>
  </si>
  <si>
    <t>Calculated</t>
  </si>
  <si>
    <t>Estimate Consumption of Fixed Capital using ratio from BEA-NIPA</t>
  </si>
  <si>
    <t>Corporations</t>
  </si>
  <si>
    <t>General government</t>
  </si>
  <si>
    <t>Households and NPISH</t>
  </si>
  <si>
    <t>Total economy</t>
  </si>
  <si>
    <t>Generation of income account</t>
  </si>
  <si>
    <t>Value added, gross</t>
  </si>
  <si>
    <t>Less:  Statistical discrepancy</t>
  </si>
  <si>
    <t>….</t>
  </si>
  <si>
    <t>Less:  Compensation of employees, paid</t>
  </si>
  <si>
    <t>Less:  Taxes on production and imports, paid</t>
  </si>
  <si>
    <t>of which:</t>
  </si>
  <si>
    <t>Other taxes on production and imports, paid</t>
  </si>
  <si>
    <t>Plus:  Subsidies, received</t>
  </si>
  <si>
    <t>Other subsidies on production, received</t>
  </si>
  <si>
    <t>Equals:  Operating surplus and mixed income, gross</t>
  </si>
  <si>
    <t>Mixed income, gross</t>
  </si>
  <si>
    <t>Distribution of income account</t>
  </si>
  <si>
    <t>Plus:  Compensation of employees, received</t>
  </si>
  <si>
    <t>Plus:  Taxes on production and imports, received</t>
  </si>
  <si>
    <t>Less:  Subsidies, paid</t>
  </si>
  <si>
    <t>Less:  Property income, paid</t>
  </si>
  <si>
    <t>Plus:  Property income, received</t>
  </si>
  <si>
    <t>Less:  Current taxes on income, wealth etc., paid</t>
  </si>
  <si>
    <t>Plus:  Current taxes on income, wealth etc., received</t>
  </si>
  <si>
    <t>Less:  Social contributions and social benefits, other than social
     transfers in kind, paid \1\</t>
  </si>
  <si>
    <t>Plus:  Social contributions and social benefits, other than social
     transfers in kind, received \1\</t>
  </si>
  <si>
    <t>Less:  Other current transfers, paid</t>
  </si>
  <si>
    <t>Plus:  Other current transfers, received</t>
  </si>
  <si>
    <t>Equals:  Gross national disposable income</t>
  </si>
  <si>
    <t>Less:  Consumption of fixed capital</t>
  </si>
  <si>
    <t>Equals:  Net national disposable income</t>
  </si>
  <si>
    <t>Use of disposable income</t>
  </si>
  <si>
    <t>Less:  Adjustment for the change in net equity of households in
     pension funds reserves, paid</t>
  </si>
  <si>
    <t>Plus:  Adjustment for the change in net equity of households in
     pension funds reserves, received</t>
  </si>
  <si>
    <t>Less:  Final consumption expenditure</t>
  </si>
  <si>
    <t>Equals:  Saving, net</t>
  </si>
  <si>
    <t>Capital account</t>
  </si>
  <si>
    <t>Less:  Capital transfers, paid</t>
  </si>
  <si>
    <t>Plus:  Capital transfers, received</t>
  </si>
  <si>
    <t xml:space="preserve">Less:  Gross capital formation </t>
  </si>
  <si>
    <t>Gross fixed capital formation</t>
  </si>
  <si>
    <t>Changes in inventories</t>
  </si>
  <si>
    <t>Acquisitions less disposals of valuables</t>
  </si>
  <si>
    <t>Plus:  Consumption of fixed capital</t>
  </si>
  <si>
    <t>Less:  Acquisitions less disposals of non-financial
     non-produced assets</t>
  </si>
  <si>
    <t>Equals:  Net lending/net borrowing</t>
  </si>
  <si>
    <t>1/ Only includes NIPA contributions for government administered social insurance for population at large.  Does not include privately funded social insurance.</t>
  </si>
  <si>
    <t>NPISH non-profit institutions serving households</t>
  </si>
  <si>
    <t>https://www.bea.gov/national/sna-and-nipas</t>
  </si>
  <si>
    <t>Gross Operating Surplus, Total Economy</t>
  </si>
  <si>
    <t>Consumption of Fixed Capital, Total Economy</t>
  </si>
  <si>
    <t>Allocate Mixed income to labor (2/3) and capital (1/3)</t>
  </si>
  <si>
    <t>Mixed income due to labor</t>
  </si>
  <si>
    <t>Mixed income due to capital</t>
  </si>
  <si>
    <t>Allocate Consumption of Fixed Capital to capital share of Mixed income and to Gross operating surplus</t>
  </si>
  <si>
    <t>Consumption of fixed capital due to mixed income</t>
  </si>
  <si>
    <t>Consumption of fixed capital due to gross operating surplus</t>
  </si>
  <si>
    <t>Calculate Mixed income and to Gross operating surplus net of Consumption of Fixed Capital</t>
  </si>
  <si>
    <t>Operating surplus, net</t>
  </si>
  <si>
    <t>Mixed income due to capital, net</t>
  </si>
  <si>
    <t>* For simplicity, assume that general government has net operating surplus equal to zero (0).</t>
  </si>
  <si>
    <t>* Historically, US-NIPA general government net operating surplus is close to zero as a share of total economy net operating surplus.</t>
  </si>
  <si>
    <t>State and local government revenues (USD million): Hawai`i, 2009-2021</t>
  </si>
  <si>
    <t>Source: US Census Bureau, various years, State and local government finance</t>
  </si>
  <si>
    <t>Revenue</t>
  </si>
  <si>
    <t>General revenue /1</t>
  </si>
  <si>
    <t>Intergovernmental revenue /1</t>
  </si>
  <si>
    <t>From Federal government</t>
  </si>
  <si>
    <t>From State government /1</t>
  </si>
  <si>
    <t>From local governments /1</t>
  </si>
  <si>
    <t>General revenue from own sources</t>
  </si>
  <si>
    <t>Taxes</t>
  </si>
  <si>
    <t>Property</t>
  </si>
  <si>
    <t>Sales and gross receipts</t>
  </si>
  <si>
    <t>General sales</t>
  </si>
  <si>
    <t>Selective sales</t>
  </si>
  <si>
    <t>Motor fuel</t>
  </si>
  <si>
    <t>Alcoholic beverage</t>
  </si>
  <si>
    <t>Tobacco products</t>
  </si>
  <si>
    <t>Public utilities</t>
  </si>
  <si>
    <t>Other selective sales</t>
  </si>
  <si>
    <t>Individual income</t>
  </si>
  <si>
    <t>Corporate income</t>
  </si>
  <si>
    <t>Motor vehicle license</t>
  </si>
  <si>
    <t>Other taxes</t>
  </si>
  <si>
    <t>Charges and miscellaneous general revenue</t>
  </si>
  <si>
    <t>Current charges</t>
  </si>
  <si>
    <t>Education</t>
  </si>
  <si>
    <t>Institutions of higher education</t>
  </si>
  <si>
    <t>School lunch sales (gross)</t>
  </si>
  <si>
    <t>Hospitals</t>
  </si>
  <si>
    <t>Highways</t>
  </si>
  <si>
    <t>Air transportation (airports)</t>
  </si>
  <si>
    <t>Parking facilities</t>
  </si>
  <si>
    <t>Sea and inland port facilities</t>
  </si>
  <si>
    <t>Natural resources</t>
  </si>
  <si>
    <t>Parks and recreation</t>
  </si>
  <si>
    <t>Housing and community development</t>
  </si>
  <si>
    <t>Sewerage</t>
  </si>
  <si>
    <t>Solid waste management</t>
  </si>
  <si>
    <t>Other charges</t>
  </si>
  <si>
    <t>Miscellaneous general revenue</t>
  </si>
  <si>
    <t>Interest earnings</t>
  </si>
  <si>
    <t>Special assessments</t>
  </si>
  <si>
    <t>Sale of property</t>
  </si>
  <si>
    <t>Other general revenue</t>
  </si>
  <si>
    <t>Utility revenue</t>
  </si>
  <si>
    <t>Water supply</t>
  </si>
  <si>
    <t>Electric power</t>
  </si>
  <si>
    <t>Gas supply</t>
  </si>
  <si>
    <t>Transit</t>
  </si>
  <si>
    <t>Liquor store revenue</t>
  </si>
  <si>
    <t>Insurance trust revenue /2</t>
  </si>
  <si>
    <t>Unemployment compensation</t>
  </si>
  <si>
    <t>Employee retirement</t>
  </si>
  <si>
    <t>Workers' compensation</t>
  </si>
  <si>
    <t>Other insurance trust revenue</t>
  </si>
  <si>
    <t>https://www.census.gov/programs-surveys/gov-finances/data/datasets.All.html</t>
  </si>
  <si>
    <t>[In thousands of dollars.  For fiscal year ending June 30.  Detail may not sum to subtotals due to rounding and catagories not shown separately]</t>
  </si>
  <si>
    <t>/1 Duplicative intergovernmental transactions are excluded.</t>
  </si>
  <si>
    <t>/2 The total of "net earnings" is a calculated statistic (the item code in the data file is X08), and thus can be positive or negative. Net earnings is the sum of earnings on investments plus gains on investments minus losses on investments. The change made in 2002 for asset valuation from book to market value in accordance with Statement 34 of the Governmental Accounting Standards Board is reflected in the calculated statistics.</t>
  </si>
  <si>
    <t>State and local government expenditures (USD million): Hawai`i, 2009-2021</t>
  </si>
  <si>
    <t>Expenditure</t>
  </si>
  <si>
    <t>By character and object</t>
  </si>
  <si>
    <t>Intergovernmental expenditure /1</t>
  </si>
  <si>
    <t>Direct expenditure</t>
  </si>
  <si>
    <t>Current operations</t>
  </si>
  <si>
    <t>Capital outlay</t>
  </si>
  <si>
    <t>Construction</t>
  </si>
  <si>
    <t>Other capital outlay</t>
  </si>
  <si>
    <t>Assistance and subsidies</t>
  </si>
  <si>
    <t>Interest on debt</t>
  </si>
  <si>
    <t>Insurance benefits and repayments</t>
  </si>
  <si>
    <t>Exhibit: Salaries and wages</t>
  </si>
  <si>
    <t>Direct expenditure by function</t>
  </si>
  <si>
    <t>Direct general expenditure</t>
  </si>
  <si>
    <t>Other direct general expenditure</t>
  </si>
  <si>
    <t>Education services:</t>
  </si>
  <si>
    <t>Higher education</t>
  </si>
  <si>
    <t>Elementary &amp; secondary</t>
  </si>
  <si>
    <t>Other education</t>
  </si>
  <si>
    <t>Libraries</t>
  </si>
  <si>
    <t>Social services and income maintenance:</t>
  </si>
  <si>
    <t>Public welfare</t>
  </si>
  <si>
    <t>Cash assistance payments</t>
  </si>
  <si>
    <t>Vendor payments</t>
  </si>
  <si>
    <t>Other public welfare</t>
  </si>
  <si>
    <t>Health</t>
  </si>
  <si>
    <t>Social insurance administration/ Employment security administration</t>
  </si>
  <si>
    <t>Veterans' services</t>
  </si>
  <si>
    <t>Transportation:</t>
  </si>
  <si>
    <t>Public safety:</t>
  </si>
  <si>
    <t>Police protection</t>
  </si>
  <si>
    <t>Fire protection</t>
  </si>
  <si>
    <t>Correction</t>
  </si>
  <si>
    <t>Protective inspection and regulation</t>
  </si>
  <si>
    <t>Environment and housing:</t>
  </si>
  <si>
    <t>Governmental administration:</t>
  </si>
  <si>
    <t>Financial administration</t>
  </si>
  <si>
    <t>Judicial and legal</t>
  </si>
  <si>
    <t>General public buildings</t>
  </si>
  <si>
    <t>Other governmental administration</t>
  </si>
  <si>
    <t>Interest on general debt</t>
  </si>
  <si>
    <t>General expenditure, n.e.c.:</t>
  </si>
  <si>
    <t>Miscellaneous commercial activities</t>
  </si>
  <si>
    <t>Other and unallocable</t>
  </si>
  <si>
    <t>Utility expenditure</t>
  </si>
  <si>
    <t>Liquor store expenditure</t>
  </si>
  <si>
    <t>Insurance trust expenditure</t>
  </si>
  <si>
    <t>Other insurance trust</t>
  </si>
  <si>
    <t>Step 3. Estimate state and local government final consumption expenditure.</t>
  </si>
  <si>
    <t>Less: Capital outlay</t>
  </si>
  <si>
    <t>Equal: State and Local final consumption expenditure</t>
  </si>
  <si>
    <t>* Excludes purchase of goods and services provided free to households</t>
  </si>
  <si>
    <t>Calculate total state and local final consumption expenditure</t>
  </si>
  <si>
    <t>Less: User fees</t>
  </si>
  <si>
    <t>Basic education</t>
  </si>
  <si>
    <t>Others, NEC</t>
  </si>
  <si>
    <t>Others, NEC (Residual)</t>
  </si>
  <si>
    <t xml:space="preserve">Direct expenditure </t>
  </si>
  <si>
    <t>Less: Capital outlays</t>
  </si>
  <si>
    <t>Less: User charges</t>
  </si>
  <si>
    <t>No data, assumed zero</t>
  </si>
  <si>
    <t>Calculate state and local final consumption expenditure by function</t>
  </si>
  <si>
    <t>Disaggregate state and local final consumption other expenditure by residence status</t>
  </si>
  <si>
    <t>Hawaii Population by resident status: 2010-2022</t>
  </si>
  <si>
    <t>Source: DBEDT, 2022 Hawaii Data Book</t>
  </si>
  <si>
    <t>US Resident Population</t>
  </si>
  <si>
    <t>Resident Population</t>
  </si>
  <si>
    <t>Visitors (Average daily census)</t>
  </si>
  <si>
    <t>Total</t>
  </si>
  <si>
    <t>Armed Forces</t>
  </si>
  <si>
    <t>Civilian population</t>
  </si>
  <si>
    <t>Domestic</t>
  </si>
  <si>
    <t>International</t>
  </si>
  <si>
    <t>Average daily census</t>
  </si>
  <si>
    <t>I-94 Arrivals</t>
  </si>
  <si>
    <t>All Civilians</t>
  </si>
  <si>
    <t>Military dependents</t>
  </si>
  <si>
    <t>Others</t>
  </si>
  <si>
    <t>https://dbedt.hawaii.gov/economic/databook/data_book_time_series/</t>
  </si>
  <si>
    <t>https://www.ustravel.org/answersheet</t>
  </si>
  <si>
    <t>Each overseas traveler spends approximately $4,200 when they visit the U.S. and stays on average 18 nights.</t>
  </si>
  <si>
    <t>https://www.trade.gov/i-94-arrivals-historical-data</t>
  </si>
  <si>
    <t>Resident population</t>
  </si>
  <si>
    <t>Visitor population</t>
  </si>
  <si>
    <t>State and local final consumption other expenditure</t>
  </si>
  <si>
    <t>Due to resident population</t>
  </si>
  <si>
    <t>Due to visitor population</t>
  </si>
  <si>
    <t>Step 4. Estimate federal government final consumption expenditure.</t>
  </si>
  <si>
    <t>Allocate other federal government consumption expenditure proportional to population</t>
  </si>
  <si>
    <t>US population - resident + visitors</t>
  </si>
  <si>
    <t>Hawaii population - resident + visitors</t>
  </si>
  <si>
    <t>Public order and safety</t>
  </si>
  <si>
    <t>Economic affairs</t>
  </si>
  <si>
    <t xml:space="preserve">Federal government final consumption expenditure </t>
  </si>
  <si>
    <t>Hawaii</t>
  </si>
  <si>
    <t>Rest of US</t>
  </si>
  <si>
    <t>Of which</t>
  </si>
  <si>
    <t>Disaggregate federal final consumption other expenditure by residence status</t>
  </si>
  <si>
    <t>https://www.bea.gov/itable/national-gdp-and-personal-income</t>
  </si>
  <si>
    <t>Table 3.17</t>
  </si>
  <si>
    <t>Federal government consumption expenditure (USD million) by function: USA, 2022</t>
  </si>
  <si>
    <t>General public service</t>
  </si>
  <si>
    <t>National defense</t>
  </si>
  <si>
    <t>Housing and community services</t>
  </si>
  <si>
    <t>Recreation and culture</t>
  </si>
  <si>
    <t>Income security</t>
  </si>
  <si>
    <t xml:space="preserve">Calculate federal government expenditure on Hawaii education and health </t>
  </si>
  <si>
    <t>See separate sheet</t>
  </si>
  <si>
    <t>Technical-vocational training</t>
  </si>
  <si>
    <t>Tertiary education</t>
  </si>
  <si>
    <t>Others not assignable by level</t>
  </si>
  <si>
    <t>* Military expenditures on health and education spent in Hawaii are excluded.</t>
  </si>
  <si>
    <t>Calculate private consumption that is in-kind government transfers</t>
  </si>
  <si>
    <t>Due to federal government</t>
  </si>
  <si>
    <t>Medicare benefits</t>
  </si>
  <si>
    <t>Medicaid</t>
  </si>
  <si>
    <t>Medicaid, federal government share</t>
  </si>
  <si>
    <t>Due to state and local government</t>
  </si>
  <si>
    <t>Public assistance and medical benefits</t>
  </si>
  <si>
    <t>Medicaid, state share</t>
  </si>
  <si>
    <t>Other medical care benefits</t>
  </si>
  <si>
    <t>Personal current transfer receipt</t>
  </si>
  <si>
    <t>Current transfer receipts of individuals from governments</t>
  </si>
  <si>
    <t>Retirement and disability insurance benefits</t>
  </si>
  <si>
    <t>Social Security benefits</t>
  </si>
  <si>
    <t>Excluding Social Security benefits</t>
  </si>
  <si>
    <t>Railroad retirement and disability benefits</t>
  </si>
  <si>
    <t>Other government retirement and disability insurance benefits</t>
  </si>
  <si>
    <t>Medical benefits</t>
  </si>
  <si>
    <t>Public assistance medical care benefits</t>
  </si>
  <si>
    <t>Military medical insurance benefits</t>
  </si>
  <si>
    <t>Supplemental Security Income (SSI) benefits</t>
  </si>
  <si>
    <t>Earned Income Tax Credit (EITC)</t>
  </si>
  <si>
    <t>Supplemental Nutrition Assistance Program (SNAP)</t>
  </si>
  <si>
    <t>Other income maintenance benefits</t>
  </si>
  <si>
    <t>Family assistance</t>
  </si>
  <si>
    <t>Excluding family assistance</t>
  </si>
  <si>
    <t>State unemployment insurance compensation</t>
  </si>
  <si>
    <t>Excluding state unemployment insurance compensation</t>
  </si>
  <si>
    <t>Unemployment compensation for Federal civilian employees (UCFE)</t>
  </si>
  <si>
    <t>Unemployment compensation for railroad employees</t>
  </si>
  <si>
    <t>Unemployment compensation for veterans (UCX)</t>
  </si>
  <si>
    <t>Other unemployment compensation</t>
  </si>
  <si>
    <t>Veterans' benefits</t>
  </si>
  <si>
    <t>Veterans' pension and disability benefits</t>
  </si>
  <si>
    <t xml:space="preserve">Veterans' readjustment benefits </t>
  </si>
  <si>
    <t>Veterans' life insurance benefits</t>
  </si>
  <si>
    <t xml:space="preserve">Other assistance to veterans </t>
  </si>
  <si>
    <t xml:space="preserve">Education and training assistance </t>
  </si>
  <si>
    <t xml:space="preserve">Other transfer receipts of individuals from governments </t>
  </si>
  <si>
    <t>Current transfer receipts of nonprofit institutions</t>
  </si>
  <si>
    <t>Receipts from the Federal government</t>
  </si>
  <si>
    <t>Receipts from state and local governments</t>
  </si>
  <si>
    <t>Receipts from businesses</t>
  </si>
  <si>
    <t xml:space="preserve">Current transfer receipts of individuals from businesses </t>
  </si>
  <si>
    <t xml:space="preserve">Refundable tax credits </t>
  </si>
  <si>
    <t xml:space="preserve">Earned Income Tax Credit (EITC) </t>
  </si>
  <si>
    <t xml:space="preserve">Additional Child Tax Credit </t>
  </si>
  <si>
    <t>na</t>
  </si>
  <si>
    <t xml:space="preserve">Other refundable tax credits </t>
  </si>
  <si>
    <t>KME Notes</t>
  </si>
  <si>
    <t>https://apps.bea.gov/regional/downloadzip.cfm?_gl=1*1ckbpi3*_ga*NzcwOTA3NDE0LjE3MDUwMzA3NDg.*_ga_J4698JNNFT*MTcwNjg0NDc1NC4xMS4xLjE3MDY4NDc5NzYuNTguMC4w</t>
  </si>
  <si>
    <t>SAINC35_HI_1929_2022</t>
  </si>
  <si>
    <t>State Personal Current Transfer Receipts: Last updated: September 29, 2023-- new statistics for 2022; revised statistics for 2013-2021.</t>
  </si>
  <si>
    <t>Gross Domestic Product (USD Million), BEA: Hawai`i,1997-2022</t>
  </si>
  <si>
    <t>Gross Domestic Product (Current-dollar)</t>
  </si>
  <si>
    <t>Compensation of employees/Compensation</t>
  </si>
  <si>
    <t>Taxes on products and imports less Subsidies</t>
  </si>
  <si>
    <t>Taxes on products and imports</t>
  </si>
  <si>
    <t>Less: Subsidies</t>
  </si>
  <si>
    <t>Gross operating surplus</t>
  </si>
  <si>
    <t>Taxes less subsidies on products and imports</t>
  </si>
  <si>
    <t>Personal consumption expenditure (USD million), BEA: Hawai`I, 1997-2021</t>
  </si>
  <si>
    <t>Personal consumption expenditures</t>
  </si>
  <si>
    <t>Goods</t>
  </si>
  <si>
    <t>Durable goods</t>
  </si>
  <si>
    <t>Motor vehicles and parts</t>
  </si>
  <si>
    <t>Furnishings and durable household equipment</t>
  </si>
  <si>
    <t>Recreational goods and vehicles</t>
  </si>
  <si>
    <t>Other durable goods</t>
  </si>
  <si>
    <t>Nondurable goods</t>
  </si>
  <si>
    <t>Food and beverages purchased for off-premises consumption</t>
  </si>
  <si>
    <t>Clothing and footwear</t>
  </si>
  <si>
    <t>Gasoline and other energy goods</t>
  </si>
  <si>
    <t>Other nondurable goods</t>
  </si>
  <si>
    <t>Services</t>
  </si>
  <si>
    <t>Household consumption expenditures (for services)</t>
  </si>
  <si>
    <t>Housing and utilities</t>
  </si>
  <si>
    <t>Health care</t>
  </si>
  <si>
    <t>Transportation services</t>
  </si>
  <si>
    <t>Recreation services</t>
  </si>
  <si>
    <t>Food services and accommodations</t>
  </si>
  <si>
    <t>Financial services and insurance</t>
  </si>
  <si>
    <t>Other services</t>
  </si>
  <si>
    <t>Final consumption expenditures of nonprofit institutions serving households (NPISHs)</t>
  </si>
  <si>
    <t>Gross output of nonprofit institutions</t>
  </si>
  <si>
    <t>Less: Receipts from sales of goods and services by nonprofit institutions</t>
  </si>
  <si>
    <t>Visitor expenditures</t>
  </si>
  <si>
    <t>https://files.hawaii.gov/dbedt/visitor/visitor-research/2022-annual-visitor.pdf</t>
  </si>
  <si>
    <t>Federal tax collection (USD million): 2009-2022</t>
  </si>
  <si>
    <t>Source: IRS as reported in DBEDT</t>
  </si>
  <si>
    <t>Federal collections</t>
  </si>
  <si>
    <t>Business income 1/</t>
  </si>
  <si>
    <t>Individual income and employment</t>
  </si>
  <si>
    <t>Income tax payments &amp; SECA 2/</t>
  </si>
  <si>
    <t>Estate and trust income tax</t>
  </si>
  <si>
    <t>Income tax withheld &amp; FICA 3/</t>
  </si>
  <si>
    <t>Railroad retirement</t>
  </si>
  <si>
    <t>Unemployment insurance</t>
  </si>
  <si>
    <t>Estate</t>
  </si>
  <si>
    <t>Gift</t>
  </si>
  <si>
    <t>Excise 4/</t>
  </si>
  <si>
    <t>http://dbedt.hawaii.gov/economic/databook/</t>
  </si>
  <si>
    <t>[In thousands of dollars.  For fiscal year ending September 30.  Receipts shown for the State of Hawaii does not necessarily indicate the Federal tax burden, since, in many instances, taxes are collected in one state from residents of, or operations in, another.  Also, taxes of corporations may be paid from the principal office, although the operations of these corporations may be located in one or more state(s).  Collections are gross, i.e. not net of refunds.  Collections relate to the given fiscal year for the most part. However, in a given fiscal year, refunds may be issued for a tax paid in a prior year, and therefore, the total refund may exceed the collection amount. Through an improved location methodology, entities are now more accurately distributed by State. Beginning with FY 2005, the ZIP Code on the tax return is used to classify returns by State.  In prior years, the location of the IRS District Office associated with the taxpayer's account was used to determine State distribution]</t>
  </si>
  <si>
    <t>1/  Includes taxes on corporation income and unrelated business income from tax-exempt organizations.</t>
  </si>
  <si>
    <t xml:space="preserve">2/  SECA Self-Employment Insurance Contributions Act, includes Old-Age, Survivors, Disability, and 
Hospital Insurance taxes on self-employment income. </t>
  </si>
  <si>
    <t>3/  FICA Federal Insurance Contributions Act, includes Old-Age, Survivors, Disability, and Hospital 
Insurance taxes on wages and salaries.</t>
  </si>
  <si>
    <t>4/  Excludes excise taxes collected by the Customs Service and the Alcohol and Tobacco Tax and Trade 
Bureau.</t>
  </si>
  <si>
    <t>Source:  U.S. Department of the Treasury, Internal Revenue Service, Internal Revenue Service Data Book
(annual) &lt;https://www.irs.gov/statistics/soi-tax-stats-all-years-irs-data-books&gt; accessed June 2, 2023.</t>
  </si>
  <si>
    <t>KME Notes:</t>
  </si>
  <si>
    <t>The original is in thousands of dollars</t>
  </si>
  <si>
    <t>https://dbedt.hawaii.gov/economic/databook/db2022/</t>
  </si>
  <si>
    <t>Table 9.02-- FEDERAL TAX COLLECTIONS, BY SOURCE:  2018 TO 2022</t>
  </si>
  <si>
    <t>Taxes on products and production</t>
  </si>
  <si>
    <t>Taxes on products</t>
  </si>
  <si>
    <t>Taxes on production</t>
  </si>
  <si>
    <t>On products</t>
  </si>
  <si>
    <t>Federal government</t>
  </si>
  <si>
    <t>Residents</t>
  </si>
  <si>
    <t>Visitors</t>
  </si>
  <si>
    <t xml:space="preserve">State and local government </t>
  </si>
  <si>
    <t>of which</t>
  </si>
  <si>
    <t>Hawaii TAT</t>
  </si>
  <si>
    <t>https://files.hawaii.gov/dbedt/economic/databook/2022-individual/09/092222.pdf</t>
  </si>
  <si>
    <t>Lodging</t>
  </si>
  <si>
    <t>On production</t>
  </si>
  <si>
    <t>State and local government (mainly on YA)</t>
  </si>
  <si>
    <t>Final consumption expenditure, residents</t>
  </si>
  <si>
    <t>Less: Taxes less subsidies on products, federal government</t>
  </si>
  <si>
    <t>Less: Taxes less subsidies on products, state and local government</t>
  </si>
  <si>
    <t>Less: Government in-kind transfers treated as private consumption, federal governmnet</t>
  </si>
  <si>
    <t>Less: Government in-kind transfers treated as private consumption, state and local governmnet</t>
  </si>
  <si>
    <t>Equals: NTA private consumption</t>
  </si>
  <si>
    <t>Allocate taxes on products and production to components by residence status using ratios from proxies</t>
  </si>
  <si>
    <t>Step 5. Adjust for taxes less subsidies on products and production</t>
  </si>
  <si>
    <t>Identify proxies for taxes less subsidies on products and production</t>
  </si>
  <si>
    <t>Share of expenditures (%) for Honolulu consumers: 2004-2005 v. 2013-2014 vs 2021-2022</t>
  </si>
  <si>
    <t>Source: DBEDT, 2016, Consumer expenditure survey</t>
  </si>
  <si>
    <t>US Bureau of Labor Statistics (2021-22), 2023, Consumer expenditure survey</t>
  </si>
  <si>
    <t>2004-2005</t>
  </si>
  <si>
    <t>2013-2014</t>
  </si>
  <si>
    <t>2021-2022</t>
  </si>
  <si>
    <t>Food</t>
  </si>
  <si>
    <t>Alcoholic beverages</t>
  </si>
  <si>
    <t>Housing</t>
  </si>
  <si>
    <t>Apparel and services</t>
  </si>
  <si>
    <t>Transportation</t>
  </si>
  <si>
    <t>Entertainment</t>
  </si>
  <si>
    <t>Personal care products and services</t>
  </si>
  <si>
    <t>Reading</t>
  </si>
  <si>
    <t>Tobacco products and smoking supplies</t>
  </si>
  <si>
    <t>Miscellaneous</t>
  </si>
  <si>
    <t>Cash contributions</t>
  </si>
  <si>
    <t>Personal insurance and retirement savings</t>
  </si>
  <si>
    <t>https://files.hawaii.gov/dbedt/economic/reports/CE_Oahu_Survey_Final.pdf</t>
  </si>
  <si>
    <t>https://www.bls.gov/regions/west/news-release/consumerexpenditures_honolulu.htm#:~:text=Households%20in%20the%20Honolulu%2C%20HI%2C%20metropolitan%20area%20spent,the%20U.S.%20Bureau%20of%20Labor%20Statistics%20reported%20today.</t>
  </si>
  <si>
    <t>Share (%) of final consumption expenditure in total</t>
  </si>
  <si>
    <t>Share (%) of education in total expenditure</t>
  </si>
  <si>
    <t>Share (%) of health in total expenditure</t>
  </si>
  <si>
    <t>Share (%) of housing in total expenditure</t>
  </si>
  <si>
    <t>Share (%) of alcoholic beverages in total expenditure</t>
  </si>
  <si>
    <t>Share (%) of tobacco products in total expenditure</t>
  </si>
  <si>
    <t>NHA, Hawaii: Private insurance and others</t>
  </si>
  <si>
    <t>NHA, Hawaii: Medicare</t>
  </si>
  <si>
    <t>NHA, Hawaii: Medicaid</t>
  </si>
  <si>
    <t>NHA, Hawaii: Residual payers, including out-of-pocket</t>
  </si>
  <si>
    <t>Health expenditures by state of residence: Hawaii, 1991-2020</t>
  </si>
  <si>
    <t>USD Millions</t>
  </si>
  <si>
    <t>https://www.cms.gov/data-research/statistics-trends-and-reports/national-health-expenditure-data/state-residence</t>
  </si>
  <si>
    <t xml:space="preserve">Personal Health Care </t>
  </si>
  <si>
    <t>By service</t>
  </si>
  <si>
    <t>Hospital Care</t>
  </si>
  <si>
    <t>Physician &amp; Clinical Services</t>
  </si>
  <si>
    <t>Other Professional Services</t>
  </si>
  <si>
    <t>Dental Services</t>
  </si>
  <si>
    <t>Home Health Care</t>
  </si>
  <si>
    <t>Prescription Drugs and Other Non-durable Medical Products</t>
  </si>
  <si>
    <t>Durable Medical Products</t>
  </si>
  <si>
    <t>Nursing Home Care</t>
  </si>
  <si>
    <t>Other Health, Residential, and Personal Care</t>
  </si>
  <si>
    <t>By payer</t>
  </si>
  <si>
    <t>Medicare</t>
  </si>
  <si>
    <t>Private health insurance</t>
  </si>
  <si>
    <t>…</t>
  </si>
  <si>
    <t>Other NEC (calculated as residual)</t>
  </si>
  <si>
    <t>Page Last Modified: 9/6/2023  4:57:00 PM</t>
  </si>
  <si>
    <t>Step 6. Estimate final consumption expenditure of visitors</t>
  </si>
  <si>
    <t>Out-of-pocket</t>
  </si>
  <si>
    <t>Private insurance and others</t>
  </si>
  <si>
    <t>Owner-occupied housing</t>
  </si>
  <si>
    <t>Tobacco</t>
  </si>
  <si>
    <t>Other NEC</t>
  </si>
  <si>
    <t>Memo Items</t>
  </si>
  <si>
    <t>Gross Operating surplus, owner-occupied housing</t>
  </si>
  <si>
    <t>State total taxes</t>
  </si>
  <si>
    <t>State individual income tax</t>
  </si>
  <si>
    <t>State GET</t>
  </si>
  <si>
    <t>State TAT</t>
  </si>
  <si>
    <t>State other taxes</t>
  </si>
  <si>
    <t>http://dbedt.hawaii.gov/economic/reports_studies/2002_state_io/</t>
  </si>
  <si>
    <t>http://dbedt.hawaii.gov/economic/reports_studies/2007-io/</t>
  </si>
  <si>
    <t>http://dbedt.hawaii.gov/economic/reports_studies/2012-io/</t>
  </si>
  <si>
    <t>https://dbedt.hawaii.gov/economic/reports_studies/2017-io/</t>
  </si>
  <si>
    <t>Step 7. Calculate public consumption expenditures</t>
  </si>
  <si>
    <t xml:space="preserve">Health </t>
  </si>
  <si>
    <t>Medicaid, Federal government share</t>
  </si>
  <si>
    <t>Health, NEC</t>
  </si>
  <si>
    <t>State and local government</t>
  </si>
  <si>
    <t>Public assistance medical benefits</t>
  </si>
  <si>
    <t>Federal final consumption other expenditure</t>
  </si>
  <si>
    <t>Step 8. Add taxes less subsidies on production to returns to factors of production</t>
  </si>
  <si>
    <t>Compensation of employees (received) + Net operating surplus</t>
  </si>
  <si>
    <t>Mixed Income, labor income share</t>
  </si>
  <si>
    <t>Mixed Income, returns to capital share net of CFC</t>
  </si>
  <si>
    <t>Net operating surplus</t>
  </si>
  <si>
    <t>Add: Taxes less subsidies on production</t>
  </si>
  <si>
    <t>Equals: NTA primary income entries</t>
  </si>
  <si>
    <t>Earnings</t>
  </si>
  <si>
    <t>Self-employment labor income</t>
  </si>
  <si>
    <t>Capital income, Private - mixed income</t>
  </si>
  <si>
    <t>Capital income, Private - corporations, NPISH</t>
  </si>
  <si>
    <t>Lifecycle Account</t>
  </si>
  <si>
    <t>Consumption</t>
  </si>
  <si>
    <t>Private Consumption</t>
  </si>
  <si>
    <t>Out-of-pocket expense</t>
  </si>
  <si>
    <t>Private insurance</t>
  </si>
  <si>
    <t>Public Consumption</t>
  </si>
  <si>
    <t>Federal</t>
  </si>
  <si>
    <t>Labor Income</t>
  </si>
  <si>
    <t>Lifecycle Deficit</t>
  </si>
  <si>
    <t>* Visitor private consumption expenditures are treated as exports following GAT Mode 2</t>
  </si>
  <si>
    <t>** Visitor share of taxes on products and production are treated as net transfers to government from abroad.</t>
  </si>
  <si>
    <t>Memorandum item 1</t>
  </si>
  <si>
    <t>Public consumption, education</t>
  </si>
  <si>
    <t>Basic Education</t>
  </si>
  <si>
    <t>Higher Education</t>
  </si>
  <si>
    <t>Technical/Vocational Education</t>
  </si>
  <si>
    <t>Public consumption, health</t>
  </si>
  <si>
    <t>Other public assistance medical benefits</t>
  </si>
  <si>
    <t>Memorandum item 2</t>
  </si>
  <si>
    <t>Post 2020 are projected using growth rates from CMS US-wide projection</t>
  </si>
  <si>
    <t>Total Expenditures</t>
  </si>
  <si>
    <t xml:space="preserve">     Out of pocket</t>
  </si>
  <si>
    <t xml:space="preserve">     Health Insurance</t>
  </si>
  <si>
    <t xml:space="preserve">          Private Health Insurance</t>
  </si>
  <si>
    <t xml:space="preserve">          Medicare</t>
  </si>
  <si>
    <t xml:space="preserve">          Medicaid (Title XIX)</t>
  </si>
  <si>
    <t xml:space="preserve">          Other Health Insurance</t>
  </si>
  <si>
    <t xml:space="preserve">     Other Third Party Payers and Programs</t>
  </si>
  <si>
    <t>Historical</t>
  </si>
  <si>
    <t>Projected</t>
  </si>
  <si>
    <t>Personal health care expenditures</t>
  </si>
  <si>
    <t>https://www.cms.gov/data-research/statistics-trends-and-reports/national-health-expenditure-data/projected</t>
  </si>
  <si>
    <t>State GDP</t>
  </si>
  <si>
    <t>* 2022 values are projected using 2015-2019 average ratio of account to Federal collections (H2)</t>
  </si>
  <si>
    <t>Personal current transfer receipts (USD million), BEA: Hawai`I, 1997-2022</t>
  </si>
  <si>
    <t>* 2022 values are projected using 2021 values</t>
  </si>
  <si>
    <t>Simplified non-financial accounts by sector (USD billion): USA, 2018</t>
  </si>
  <si>
    <t>Source: BEA, 2023, NIPA</t>
  </si>
  <si>
    <t>By region of origin</t>
  </si>
  <si>
    <t>US mainland</t>
  </si>
  <si>
    <t>By expenditure item</t>
  </si>
  <si>
    <t>Personal consumption expenditures - Hawaii Residents</t>
  </si>
  <si>
    <t>Personal consumption expenditures - US Residents</t>
  </si>
  <si>
    <t>Less: Assistance and subsidies</t>
  </si>
  <si>
    <t>Less: Interest on debt</t>
  </si>
  <si>
    <t>Less: Insurance benefits and repayments</t>
  </si>
  <si>
    <t>Gross Operating Surplus net of Mixed Income</t>
  </si>
  <si>
    <t>Gross Operating Surplus, including Mixed Income</t>
  </si>
  <si>
    <t>Of which, owner-occupied housing</t>
  </si>
  <si>
    <t>Operating surplus (excluding Mixed Income), gross</t>
  </si>
  <si>
    <t>Mixed income, capital share</t>
  </si>
  <si>
    <t>Operating surplus</t>
  </si>
  <si>
    <t xml:space="preserve">Estimate Gross Operating Surplus using ratio from US NIA </t>
  </si>
  <si>
    <t>Step 1. Separate operating surplus (net) of owner-occupied housing from total</t>
  </si>
  <si>
    <t>Step 2. Scale property income from BEA Regional Accounts</t>
  </si>
  <si>
    <t>Scale household property income inflow from BEA regional accounts to state level using ratio from US-NIPA</t>
  </si>
  <si>
    <t>Property income received, household - US-NIPA</t>
  </si>
  <si>
    <t>Property income received, corporation - US-NIPA</t>
  </si>
  <si>
    <t>Property income, inflow, household - BEA regional accounts</t>
  </si>
  <si>
    <t xml:space="preserve">Property income, inflow  </t>
  </si>
  <si>
    <t>Calculate property income outflow using ratio from US-NIPA</t>
  </si>
  <si>
    <t>Property income paid, household - US-NIPA</t>
  </si>
  <si>
    <t>Property income paid, corporations - US-NIPA</t>
  </si>
  <si>
    <t>Property income, outflow</t>
  </si>
  <si>
    <t>Step 3. Calculate inter-household transfers</t>
  </si>
  <si>
    <t>Current transfers of individuals from businesses - BEA regional accounts</t>
  </si>
  <si>
    <t>Current transfers of NPISH from businesses - BEA regional accounts</t>
  </si>
  <si>
    <t>Private transfers, inter-household transfers, inflows</t>
  </si>
  <si>
    <t>Calculate current transfer receipts directly from BEA regional accounts</t>
  </si>
  <si>
    <t>Resident final consumption expenditure - DBEDT-IO table</t>
  </si>
  <si>
    <t xml:space="preserve">Final consumption expenditure (%) </t>
  </si>
  <si>
    <t xml:space="preserve">Cash contributions (%) </t>
  </si>
  <si>
    <t>Private transfers, inter-household transfers, outflows</t>
  </si>
  <si>
    <t>Estimate private transfer outflows using residents final consumption expenditure and ratio of cash contributions to final consumption expenditure in Hawaii CEX survey</t>
  </si>
  <si>
    <t>Private transfers</t>
  </si>
  <si>
    <t>Private transfers, intra-household</t>
  </si>
  <si>
    <t>Private transfers, inter-household</t>
  </si>
  <si>
    <t>Private transfers, inter-household, inflows</t>
  </si>
  <si>
    <t>Private transfers, inter-household, outflows</t>
  </si>
  <si>
    <t>Private asset-based reallocations</t>
  </si>
  <si>
    <t>Asset income</t>
  </si>
  <si>
    <t>Capital income</t>
  </si>
  <si>
    <t>Property income</t>
  </si>
  <si>
    <t>Property income, inflow</t>
  </si>
  <si>
    <t>Step 1. Copy federal, and state and local government final consumption expenditure from LCD sheet, and assign as public transfers, inflows, in-kind.</t>
  </si>
  <si>
    <t>All</t>
  </si>
  <si>
    <t>Step 2. Copy federal, and state and local government taxes and social contributions directly from source. Taxes on products and production are from LCD sheet. All Other are directly from government reports. Taxes on production, income and wealth, and social contributions are wholly assigned to residents. Taxes on products by visitors are treated as net transfers from ROW.</t>
  </si>
  <si>
    <t>Due to compensation of employees</t>
  </si>
  <si>
    <t>Due to mixed income, labor share</t>
  </si>
  <si>
    <t>Due to mixed income, capital share</t>
  </si>
  <si>
    <t>Due to operating surplus</t>
  </si>
  <si>
    <t>Taxes on income and wealth</t>
  </si>
  <si>
    <t>Business income</t>
  </si>
  <si>
    <t>Estate and trust income</t>
  </si>
  <si>
    <t>Estate and gift</t>
  </si>
  <si>
    <t>Social contributions</t>
  </si>
  <si>
    <t>FICA</t>
  </si>
  <si>
    <t>SECA</t>
  </si>
  <si>
    <t>State and local</t>
  </si>
  <si>
    <t>Transient accommodations tax</t>
  </si>
  <si>
    <t>Hawaii unemployment compensation trust fund (USD M) - 2010 to 2022</t>
  </si>
  <si>
    <t>Source: https://labor.hawaii.gov/wp-content/uploads/2023/12/UCTF-Annual-Eval-FY2022-23.pdf</t>
  </si>
  <si>
    <t>Interest</t>
  </si>
  <si>
    <t>Benefits</t>
  </si>
  <si>
    <t>Fund Balance</t>
  </si>
  <si>
    <t>Federal loan balance</t>
  </si>
  <si>
    <t>https://labor.hawaii.gov/find-a-report/</t>
  </si>
  <si>
    <t>Last two reports were published on December</t>
  </si>
  <si>
    <t>Memorandum item: Transfer from Federal to State and Local government</t>
  </si>
  <si>
    <t>Proxies for federal government expenditures in Hawai`i: 2010-2022</t>
  </si>
  <si>
    <t>Source: Various sources</t>
  </si>
  <si>
    <t>Table</t>
  </si>
  <si>
    <t>Source</t>
  </si>
  <si>
    <t>Old-age, survivors and disability insurance benefits paid</t>
  </si>
  <si>
    <t>Retirement</t>
  </si>
  <si>
    <t>T5.J.1</t>
  </si>
  <si>
    <t>https://www.ssa.gov/policy/docs/statcomps/supplement/</t>
  </si>
  <si>
    <t>Survivors</t>
  </si>
  <si>
    <t>Disability</t>
  </si>
  <si>
    <t>Federal and federally administered SSI</t>
  </si>
  <si>
    <t>T7.B7</t>
  </si>
  <si>
    <t>Medicare benefits - Hospital insurance</t>
  </si>
  <si>
    <t>Short-stay hospital program payments/Inpatient hospital</t>
  </si>
  <si>
    <t>T8.B.2</t>
  </si>
  <si>
    <t>Skilled nursing facility program payments</t>
  </si>
  <si>
    <t>T8.B.3</t>
  </si>
  <si>
    <t>Hospice care program payments</t>
  </si>
  <si>
    <t>T8.B.4</t>
  </si>
  <si>
    <t>Medicare benefits - Supplemental medical insurance</t>
  </si>
  <si>
    <t>Physician/Supplier-covered services program payments</t>
  </si>
  <si>
    <t>T8.B11.1</t>
  </si>
  <si>
    <t>Outpatient facilities program payments</t>
  </si>
  <si>
    <t>T8.B11.2</t>
  </si>
  <si>
    <t>Medicare benefits - Medical prescription benefits</t>
  </si>
  <si>
    <t>Total Medicare Part D and RDS enrollees</t>
  </si>
  <si>
    <t>T8.B13</t>
  </si>
  <si>
    <t xml:space="preserve">Medicaid </t>
  </si>
  <si>
    <t>T8.H1</t>
  </si>
  <si>
    <t>T9.A2</t>
  </si>
  <si>
    <t>Annual Statistical Supplement</t>
  </si>
  <si>
    <t>(last released November 2023 · next expected February 2025)</t>
  </si>
  <si>
    <t>Step 3. Calculate public transfers inflows, cash</t>
  </si>
  <si>
    <t>Income tax withheld and FICA</t>
  </si>
  <si>
    <t>Income tax payment and SECA (not a tax on production)</t>
  </si>
  <si>
    <t>Contributions for government social insurance</t>
  </si>
  <si>
    <t>Additions</t>
  </si>
  <si>
    <t>Deductions</t>
  </si>
  <si>
    <t>Net position restricted for pension benefits</t>
  </si>
  <si>
    <t>Refunds</t>
  </si>
  <si>
    <t>Employer contributions</t>
  </si>
  <si>
    <t>Member contributions</t>
  </si>
  <si>
    <t>Investment income (net of expenses)</t>
  </si>
  <si>
    <t>Administrative expenses</t>
  </si>
  <si>
    <t>Total deductions from plan net position</t>
  </si>
  <si>
    <t>Total additions to plan net position</t>
  </si>
  <si>
    <t>Net increase (decrease) in plan net position</t>
  </si>
  <si>
    <t>Beginning of year</t>
  </si>
  <si>
    <t>End of year</t>
  </si>
  <si>
    <t>Employment Retirement System Change in Fiduciary Net Position</t>
  </si>
  <si>
    <t>(USD Millions)</t>
  </si>
  <si>
    <t>Calculate public transfers, inflows, other cash</t>
  </si>
  <si>
    <t>Calculate public transfers, inflows, pension and disability</t>
  </si>
  <si>
    <t>Public Transfers, Inflows, Other cash</t>
  </si>
  <si>
    <t>Other income maintenance benefits /1</t>
  </si>
  <si>
    <t>Education and training assistance /1</t>
  </si>
  <si>
    <t>Other transfer receipts of individuals from governments /1</t>
  </si>
  <si>
    <t>Receipts of NPISH</t>
  </si>
  <si>
    <t>1/ Allocated using distribution of public in-kind transfers by level of government as proxy</t>
  </si>
  <si>
    <t>Step 4. Calculate public asset income and net transfers from ROW. Based on historical flows, net operating surplus of government is small relative to the aggregate. Only property income is calculated.</t>
  </si>
  <si>
    <t>For state and local government, calculate directly from annual reports</t>
  </si>
  <si>
    <t>Property income (State and local government)</t>
  </si>
  <si>
    <t>Property income, inflows</t>
  </si>
  <si>
    <t>Property income, outflows</t>
  </si>
  <si>
    <t>Saving/Dissaving (State and local government)</t>
  </si>
  <si>
    <t>Saving (ERS)</t>
  </si>
  <si>
    <t>Dissaving (ERS)</t>
  </si>
  <si>
    <t>For federal government, assign using share of unobligated taxes</t>
  </si>
  <si>
    <t>Unobligated taxes, Federal government, USA</t>
  </si>
  <si>
    <t>Unobligated taxes, Federal government, Hawaii</t>
  </si>
  <si>
    <t>Federal government, property income received</t>
  </si>
  <si>
    <t>Federal government, property income paid</t>
  </si>
  <si>
    <t>Federal government, net saving</t>
  </si>
  <si>
    <t>Transfers from ROW</t>
  </si>
  <si>
    <t>Transfers to ROW</t>
  </si>
  <si>
    <t>Property income (Federal government)</t>
  </si>
  <si>
    <t>Saving, net</t>
  </si>
  <si>
    <t>Transfers from ROW, net</t>
  </si>
  <si>
    <t>Federal government current receipts and expenditures (M USD): 2009-2022</t>
  </si>
  <si>
    <t>Source: BEA, 2024, NIPA T30200-A</t>
  </si>
  <si>
    <t/>
  </si>
  <si>
    <t xml:space="preserve">        Current receipts</t>
  </si>
  <si>
    <t>Current tax receipts</t>
  </si>
  <si>
    <t xml:space="preserve">    Personal current taxes1</t>
  </si>
  <si>
    <t xml:space="preserve">    Taxes on production and imports2</t>
  </si>
  <si>
    <t xml:space="preserve">        Excise taxes</t>
  </si>
  <si>
    <t xml:space="preserve">        Customs duties</t>
  </si>
  <si>
    <t xml:space="preserve">        Other</t>
  </si>
  <si>
    <t xml:space="preserve">    Taxes on corporate income</t>
  </si>
  <si>
    <t xml:space="preserve">    Taxes from the rest of the world</t>
  </si>
  <si>
    <t xml:space="preserve">    From persons</t>
  </si>
  <si>
    <t xml:space="preserve">    From the rest of the world3</t>
  </si>
  <si>
    <t>Income receipts on assets</t>
  </si>
  <si>
    <t xml:space="preserve">    Interest receipts4</t>
  </si>
  <si>
    <t xml:space="preserve">    Dividends</t>
  </si>
  <si>
    <t xml:space="preserve">        Federal Reserve banks</t>
  </si>
  <si>
    <t xml:space="preserve">    Rents and royalties5</t>
  </si>
  <si>
    <t>Current transfer receipts</t>
  </si>
  <si>
    <t xml:space="preserve">    From business</t>
  </si>
  <si>
    <t xml:space="preserve">    From the rest of the world6</t>
  </si>
  <si>
    <t>Current surplus of government enterprises7</t>
  </si>
  <si>
    <t xml:space="preserve">        Current expenditures</t>
  </si>
  <si>
    <t>Consumption expenditures</t>
  </si>
  <si>
    <t>Current transfer payments</t>
  </si>
  <si>
    <t xml:space="preserve">    Government social benefits</t>
  </si>
  <si>
    <t xml:space="preserve">        To persons</t>
  </si>
  <si>
    <t xml:space="preserve">        To the rest of the world8</t>
  </si>
  <si>
    <t xml:space="preserve">    Other current transfer payments</t>
  </si>
  <si>
    <t xml:space="preserve">        Grants-in-aid to state and local governments</t>
  </si>
  <si>
    <t xml:space="preserve">        To the rest of the world6,8</t>
  </si>
  <si>
    <t>Interest payments4</t>
  </si>
  <si>
    <t xml:space="preserve">    To persons and business4</t>
  </si>
  <si>
    <t xml:space="preserve">    To the rest of the world</t>
  </si>
  <si>
    <t>Subsidies7</t>
  </si>
  <si>
    <t xml:space="preserve">        Net federal government saving</t>
  </si>
  <si>
    <t>Social insurance funds</t>
  </si>
  <si>
    <t>Other</t>
  </si>
  <si>
    <t>Addenda:</t>
  </si>
  <si>
    <t xml:space="preserve">    Total receipts</t>
  </si>
  <si>
    <t xml:space="preserve">        Capital transfer receipts</t>
  </si>
  <si>
    <t xml:space="preserve">    Total expenditures</t>
  </si>
  <si>
    <t xml:space="preserve">        Gross government investment</t>
  </si>
  <si>
    <t xml:space="preserve">        Capital transfer payments</t>
  </si>
  <si>
    <t xml:space="preserve">        Net purchases of nonproduced assets</t>
  </si>
  <si>
    <t xml:space="preserve">        Less: Consumption of fixed capital</t>
  </si>
  <si>
    <t xml:space="preserve">    Net lending or net borrowing (-)</t>
  </si>
  <si>
    <t>1. Includes dividends tax for 1933-34 and automobile use tax for 1942-46 as shown in table 3.4.</t>
  </si>
  <si>
    <t>2. Includes the capital stock tax for 1933-45 as shown in table 3.5.</t>
  </si>
  <si>
    <t>3. Consists primarily of contributions by residents of the U.S. territories and the Commonwealths of Puerto Rico and Northern Mariana Islands.</t>
  </si>
  <si>
    <t>4. Prior to 1960, interest payments to persons and business (line 34) and interest receipts (line 14) are not shown separately, but are included in interest payments (line 33), which is shown net of interest receipts. Interest payments to persons and business includes interest accrued on the actuarial liabilities of defined benefit pension plans for federal government employees.</t>
  </si>
  <si>
    <t>5. Rents and royalties are receipts from the leasing of federally owned lands and mineral deposits. These values do not include bonus payments made to secure such leases.</t>
  </si>
  <si>
    <t>6. Prior to 1999, current transfer payments to the rest of the world are displayed net of current transfer receipts from the rest of the world.</t>
  </si>
  <si>
    <t>7. Prior to 1959, subsidies (line 36) and the current surplus of government enterprises (line 23) are not shown separately; subsidies are presented net of the current surplus of government enterprises.</t>
  </si>
  <si>
    <t>8. Prior to 1960, government social benefits to the rest of the world (line 29) are included in line 32, 'Other current transfer payments to the rest of the world.'</t>
  </si>
  <si>
    <t>https://apps.bea.gov/histdata/fileStructDisplay.cfm?HMI=7&amp;DY=2023&amp;DQ=Q4&amp;DV=Advance&amp;dNRD=January-25-2024</t>
  </si>
  <si>
    <t>https://view.officeapps.live.com/op/view.aspx?src=https%3A%2F%2Fapps.bea.gov%2Fhistdata%2FReleases%2FGDP_and_PI%2F2023%2FQ4%2FAdvance_January-25-2024%2FSection3all_xls.xlsx&amp;wdOrigin=BROWSELINK</t>
  </si>
  <si>
    <t>You have accessed an archive of National Accounts (NIPA) data that were initially published on January-25-2024 in connection with the Advance estimates for 2023 Q4.</t>
  </si>
  <si>
    <t>Annual table was released by October</t>
  </si>
  <si>
    <t>Government current expenditure by function (USD Million), Annual data 2009 to 2022</t>
  </si>
  <si>
    <t>Source: BEA, 2024, NIPA T3.16</t>
  </si>
  <si>
    <t xml:space="preserve">            Government1</t>
  </si>
  <si>
    <t xml:space="preserve">    Executive and legislative</t>
  </si>
  <si>
    <t xml:space="preserve">    Tax collection and financial management</t>
  </si>
  <si>
    <t xml:space="preserve">    Interest payments2</t>
  </si>
  <si>
    <t xml:space="preserve">    Other3</t>
  </si>
  <si>
    <t xml:space="preserve">    Police</t>
  </si>
  <si>
    <t xml:space="preserve">    Fire</t>
  </si>
  <si>
    <t xml:space="preserve">    Law courts</t>
  </si>
  <si>
    <t xml:space="preserve">    Prisons</t>
  </si>
  <si>
    <t xml:space="preserve">    Transportation</t>
  </si>
  <si>
    <t xml:space="preserve">        Highways</t>
  </si>
  <si>
    <t xml:space="preserve">        Air</t>
  </si>
  <si>
    <t xml:space="preserve">        Water</t>
  </si>
  <si>
    <t xml:space="preserve">        Transit and railroad</t>
  </si>
  <si>
    <t xml:space="preserve">    Space</t>
  </si>
  <si>
    <t xml:space="preserve">    Other economic affairs</t>
  </si>
  <si>
    <t xml:space="preserve">        General economic and labor affairs</t>
  </si>
  <si>
    <t xml:space="preserve">        Agriculture</t>
  </si>
  <si>
    <t xml:space="preserve">        Energy</t>
  </si>
  <si>
    <t xml:space="preserve">        Natural resources</t>
  </si>
  <si>
    <t xml:space="preserve">        Postal service</t>
  </si>
  <si>
    <t xml:space="preserve">        Other4</t>
  </si>
  <si>
    <t xml:space="preserve">    Elementary and secondary</t>
  </si>
  <si>
    <t xml:space="preserve">    Higher</t>
  </si>
  <si>
    <t xml:space="preserve">    Libraries and other</t>
  </si>
  <si>
    <t xml:space="preserve">        Libraries</t>
  </si>
  <si>
    <t xml:space="preserve">    Disability</t>
  </si>
  <si>
    <t xml:space="preserve">    Retirement5</t>
  </si>
  <si>
    <t xml:space="preserve">    Welfare and social services</t>
  </si>
  <si>
    <t xml:space="preserve">    Unemployment</t>
  </si>
  <si>
    <t xml:space="preserve">    Other</t>
  </si>
  <si>
    <t xml:space="preserve">            Federal</t>
  </si>
  <si>
    <t xml:space="preserve">    Other6</t>
  </si>
  <si>
    <t xml:space="preserve">            State and local</t>
  </si>
  <si>
    <t xml:space="preserve">    Interest payments</t>
  </si>
  <si>
    <t xml:space="preserve">    Other7</t>
  </si>
  <si>
    <t>Housing and community services8</t>
  </si>
  <si>
    <t>Health (net)</t>
  </si>
  <si>
    <t xml:space="preserve">    Gross expenditures</t>
  </si>
  <si>
    <t xml:space="preserve">    Less: Sales to other sectors</t>
  </si>
  <si>
    <t>1. Equals federal government current expenditures less grants-in-aid to state and local governments plus state and local government current expenditures. Federal grants-in-aid to state and local governments by function are shown in table 3.17.</t>
  </si>
  <si>
    <t>2. Prior to 1960, federal interest receipts are not available separately but are included in interest payments, which is shown net of federal interest receipts. Interest payments includes interest accrued on the actuarial liabilities of defined benefit pension plans for government employees.</t>
  </si>
  <si>
    <t>3. Equals unallocable state and local government expenditures; includes federal government revenue sharing grants to state and local governments beginning with 1972 and ending with 1987.</t>
  </si>
  <si>
    <t>4. Consists of state and local government publicly owned liquor store systems, government-administered lotteries and parimutuels, and other commercial activities.</t>
  </si>
  <si>
    <t>5. Consists of social insurance funds, including old age, survivors, and disability insurance (social security), and railroad retirement. Excludes government employee retirement plans.</t>
  </si>
  <si>
    <t>6. Consists primarily of federal government revenue sharing grants to state and local governments beginning with 1972 and ending with 1987.</t>
  </si>
  <si>
    <t>7. Equals unallocable state and local government expenditures.</t>
  </si>
  <si>
    <t>8. Consists of current expenditures for sanitation. Beginning with 2007, includes housing subsidies related to Hurricanes Katrina and Rita.</t>
  </si>
  <si>
    <t>Section3all_xls.xlsx (live.com)</t>
  </si>
  <si>
    <t>* Government assets are assumed to be owned by residents only</t>
  </si>
  <si>
    <t>Step 5. Calculate transfers from ROW and RUS adjustment to ensure that federal saving in Hawaii matches estimate. As a simplifying assumption, only the federal government may deal with ROW and RUS, except those related to Hawaii visitor taxes.</t>
  </si>
  <si>
    <t>Transfer inflows</t>
  </si>
  <si>
    <t>In-kind</t>
  </si>
  <si>
    <t>Pensions (and disability benefits)</t>
  </si>
  <si>
    <t>Other cash, NEC</t>
  </si>
  <si>
    <t>Transfer outflows</t>
  </si>
  <si>
    <t>Taxes and other revenues</t>
  </si>
  <si>
    <t>Deficit</t>
  </si>
  <si>
    <t>Less: Saving</t>
  </si>
  <si>
    <t>Transfers from ROW through Federal, net</t>
  </si>
  <si>
    <t>Discrepancy: Adjustment on net transfers from ROW and RUS, net</t>
  </si>
  <si>
    <t>Public transfers</t>
  </si>
  <si>
    <t>Public transfers, inflows</t>
  </si>
  <si>
    <t>Public transfers, inflows, in-kind</t>
  </si>
  <si>
    <t xml:space="preserve">Others, NEC </t>
  </si>
  <si>
    <t>Public transfers, inflows, cash</t>
  </si>
  <si>
    <t>OASDI benefits (Pension and disability benefits)</t>
  </si>
  <si>
    <t>Other cash receipts, NEC</t>
  </si>
  <si>
    <t>Public transfes, outflows</t>
  </si>
  <si>
    <t>Transfer deficits (surplus)</t>
  </si>
  <si>
    <t>Asset-based Reallocations</t>
  </si>
  <si>
    <t>Asset Income</t>
  </si>
  <si>
    <t>Less: Saving, net</t>
  </si>
  <si>
    <t>MEMORANDUM ITEM</t>
  </si>
  <si>
    <t>Transfers from ROW and the rest of the US government, net</t>
  </si>
  <si>
    <t xml:space="preserve">Check: Federal saving, net* </t>
  </si>
  <si>
    <t>* Should match SG(Federal)</t>
  </si>
  <si>
    <t>Adjustment for pension funds</t>
  </si>
  <si>
    <t>Other Saving, net</t>
  </si>
  <si>
    <t>State and Local</t>
  </si>
  <si>
    <t>REA, T1</t>
  </si>
  <si>
    <t>REA, T2</t>
  </si>
  <si>
    <t>NIPA, T3</t>
  </si>
  <si>
    <t>Consumption of Fixed Capital - Hawaii</t>
  </si>
  <si>
    <t>SLGF, T4</t>
  </si>
  <si>
    <t>SLGF, T5</t>
  </si>
  <si>
    <t>HDB, T6</t>
  </si>
  <si>
    <t>Copied</t>
  </si>
  <si>
    <t>NIPA, T7</t>
  </si>
  <si>
    <t>REA, T8</t>
  </si>
  <si>
    <t>REA, T9</t>
  </si>
  <si>
    <t>HDB, T10</t>
  </si>
  <si>
    <t>CEX, T11</t>
  </si>
  <si>
    <t>Allocate NTA private consumption</t>
  </si>
  <si>
    <t>Adjusted NIA household final consumption expenditure</t>
  </si>
  <si>
    <t>Other housing, NEC</t>
  </si>
  <si>
    <t>NHA, T12</t>
  </si>
  <si>
    <t>Gross Operating Surplus, owner-occupied housing</t>
  </si>
  <si>
    <t>HIO, T13</t>
  </si>
  <si>
    <t>Collate public consumption</t>
  </si>
  <si>
    <t>Adjust NIA primary income</t>
  </si>
  <si>
    <t>Estimate Lifecycle Account</t>
  </si>
  <si>
    <t>LC</t>
  </si>
  <si>
    <t xml:space="preserve">LC  </t>
  </si>
  <si>
    <t>Calculate net operating surplus of owner-occupied housing</t>
  </si>
  <si>
    <t>HDB, T11</t>
  </si>
  <si>
    <t>Estimate Private Reallocations</t>
  </si>
  <si>
    <t>Estimate Public Reallocations</t>
  </si>
  <si>
    <t>Assign public consumption as public in-kind transfers</t>
  </si>
  <si>
    <t>Populate inventory of taxes and social contributions</t>
  </si>
  <si>
    <t>Calculate adjustment on transfers from ROW and US</t>
  </si>
  <si>
    <t>* Copied from LC</t>
  </si>
  <si>
    <t>T1, T10, T14, T15, LC</t>
  </si>
  <si>
    <t>Use T16</t>
  </si>
  <si>
    <t>Saving (Calculated from NIPA)</t>
  </si>
  <si>
    <t>Contributions (ERS)</t>
  </si>
  <si>
    <t>Less: Benefits and refunds (ERS)</t>
  </si>
  <si>
    <t>Private saving</t>
  </si>
  <si>
    <t>Government current expenditures</t>
  </si>
  <si>
    <t>*Use average for 2015-2019</t>
  </si>
  <si>
    <t>US - income tax collections (USD Billion)</t>
  </si>
  <si>
    <t>US - FICA + SECA (USD Billion)</t>
  </si>
  <si>
    <t>https://www.irs.gov/statistics/soi-tax-stats-collections-and-refunds-by-type-of-tax-irs-data-book-table-1</t>
  </si>
  <si>
    <t>US - FICA (USD Billion)</t>
  </si>
  <si>
    <t>US - SECA (USD Billion)</t>
  </si>
  <si>
    <t xml:space="preserve">SECA, estimated </t>
  </si>
  <si>
    <t>FICA, estimated</t>
  </si>
  <si>
    <t>Income tax net of FICA and SECA, estimated</t>
  </si>
  <si>
    <t>BEA, T9</t>
  </si>
  <si>
    <t>ERS Total benefits payable by age</t>
  </si>
  <si>
    <t>&lt;20</t>
  </si>
  <si>
    <t>20-24</t>
  </si>
  <si>
    <t>25-29</t>
  </si>
  <si>
    <t>30-34</t>
  </si>
  <si>
    <t>35-39</t>
  </si>
  <si>
    <t>40-44</t>
  </si>
  <si>
    <t>45-49</t>
  </si>
  <si>
    <t>50-54</t>
  </si>
  <si>
    <t>55-59</t>
  </si>
  <si>
    <t>60-64</t>
  </si>
  <si>
    <t>65-69</t>
  </si>
  <si>
    <t>70-74</t>
  </si>
  <si>
    <t>75-79</t>
  </si>
  <si>
    <t>80-84</t>
  </si>
  <si>
    <t>85+</t>
  </si>
  <si>
    <t>Current USD</t>
  </si>
  <si>
    <t>https://ers.ehawaii.gov/wp-content/uploads/2024/03/ACFR-2022-Web_r1.1.pdf</t>
  </si>
  <si>
    <t>Population</t>
  </si>
  <si>
    <t>Per capita</t>
  </si>
  <si>
    <t>https://ers.ehawaii.gov/wp-content/uploads/2014/08/CAFR-2012-web.pdf</t>
  </si>
  <si>
    <t>Alternative: Apply ratio from DBEDT IO-table to Hawaii GDP</t>
  </si>
  <si>
    <t>DBEDT, T13</t>
  </si>
  <si>
    <t>Share of SLG final consumption expenditures and investments</t>
  </si>
  <si>
    <t>SLG final consumption expenditures and investments</t>
  </si>
  <si>
    <t>US - Compensation of employees (USD Billion)</t>
  </si>
  <si>
    <t>US - Proprietors' income (USD Billion)</t>
  </si>
  <si>
    <t>Memorandum item 1: Disaggregate IRS income tax + FICA + SECA using US-level proportions</t>
  </si>
  <si>
    <t>Memorandum item 2: Use US-level effective tax rates to calculate income tax + FICA + SECA</t>
  </si>
  <si>
    <t>Income tax, estimated</t>
  </si>
  <si>
    <t>SECA, estimated</t>
  </si>
  <si>
    <t>Memorandum item 3: US-level values</t>
  </si>
  <si>
    <t>Public reallocations</t>
  </si>
  <si>
    <t>Public Reallocations</t>
  </si>
  <si>
    <t>Private Reallocations</t>
  </si>
  <si>
    <t>CFE</t>
  </si>
  <si>
    <t>CFHO</t>
  </si>
  <si>
    <t>CFHI</t>
  </si>
  <si>
    <t>Housing, rent and household operations</t>
  </si>
  <si>
    <t>Housing, rental value of owner-occupied units</t>
  </si>
  <si>
    <t>CFXR</t>
  </si>
  <si>
    <t>CFXH</t>
  </si>
  <si>
    <t>CFXA</t>
  </si>
  <si>
    <t>CFXT</t>
  </si>
  <si>
    <t>CFXX</t>
  </si>
  <si>
    <t>CGEB</t>
  </si>
  <si>
    <t>CGEH</t>
  </si>
  <si>
    <t>CGEX</t>
  </si>
  <si>
    <t>CGET</t>
  </si>
  <si>
    <t>CGEB_F</t>
  </si>
  <si>
    <t>CGEH_F</t>
  </si>
  <si>
    <t>CGET_F</t>
  </si>
  <si>
    <t>CGEX_F</t>
  </si>
  <si>
    <t>CGEB_S</t>
  </si>
  <si>
    <t>CGEH_S</t>
  </si>
  <si>
    <t>CGET_S</t>
  </si>
  <si>
    <t>CGEX_S</t>
  </si>
  <si>
    <t>CGHR</t>
  </si>
  <si>
    <t>CGHD</t>
  </si>
  <si>
    <t>CGHP</t>
  </si>
  <si>
    <t>CGHX</t>
  </si>
  <si>
    <t>CGHR_F</t>
  </si>
  <si>
    <t>CGHD_F</t>
  </si>
  <si>
    <t>CGHP_F</t>
  </si>
  <si>
    <t>CGHX_F</t>
  </si>
  <si>
    <t>CGHR_S</t>
  </si>
  <si>
    <t>CGHD_S</t>
  </si>
  <si>
    <t>CGHP_S</t>
  </si>
  <si>
    <t>CGHX_S</t>
  </si>
  <si>
    <t>CGX</t>
  </si>
  <si>
    <t>CGX_F</t>
  </si>
  <si>
    <t>CGX_S</t>
  </si>
  <si>
    <t>YLE</t>
  </si>
  <si>
    <t>YLS</t>
  </si>
  <si>
    <t>ntavar</t>
  </si>
  <si>
    <t>est</t>
  </si>
  <si>
    <t>label</t>
  </si>
  <si>
    <t>Private consumption, education</t>
  </si>
  <si>
    <t>Private consumption, health, out-of-pocket</t>
  </si>
  <si>
    <t>Private consumption, health, private insurance</t>
  </si>
  <si>
    <t>Private consumption, others, rental value of owner-occupied housing</t>
  </si>
  <si>
    <t>Private consumption, others, actual rent and household operations</t>
  </si>
  <si>
    <t>Private consumption, others, alcoholic beverages</t>
  </si>
  <si>
    <t>Private consumption, others, tobacco products</t>
  </si>
  <si>
    <t>Private consumption, others, not elsewhere classified</t>
  </si>
  <si>
    <t>Labor income, earnings</t>
  </si>
  <si>
    <t>Labor income, self-employment</t>
  </si>
  <si>
    <t>Public consumption, education, basic</t>
  </si>
  <si>
    <t>Public consumption, education, higher</t>
  </si>
  <si>
    <t>Public consumption, education, technical-vocational</t>
  </si>
  <si>
    <t>Public consumption, education, others</t>
  </si>
  <si>
    <t>Public consumption, health, medicare</t>
  </si>
  <si>
    <t>Public consumption, health, medicaid</t>
  </si>
  <si>
    <t>Public consumption, health, public assistance</t>
  </si>
  <si>
    <t>Public consumption, health, others</t>
  </si>
  <si>
    <t>Public consumption, others, not elsewhere classified</t>
  </si>
  <si>
    <t>TGSOAI</t>
  </si>
  <si>
    <t>TGXCISSI</t>
  </si>
  <si>
    <t>TGXCIEITC</t>
  </si>
  <si>
    <t>TGXCISNAP</t>
  </si>
  <si>
    <t>TGXCIOW</t>
  </si>
  <si>
    <t>TGXCIUNEMP</t>
  </si>
  <si>
    <t>TGXCIVETS</t>
  </si>
  <si>
    <t>TGXCIEDUC</t>
  </si>
  <si>
    <t>TGSOAI_F</t>
  </si>
  <si>
    <t>TGXCISSI_F</t>
  </si>
  <si>
    <t>TGXCIEITC_F</t>
  </si>
  <si>
    <t>TGXCISNAP_F</t>
  </si>
  <si>
    <t>TGXCIOW_F</t>
  </si>
  <si>
    <t>TGXCIUNEMP_F</t>
  </si>
  <si>
    <t>TGXCIVETS_F</t>
  </si>
  <si>
    <t>TGXCIEDUC_F</t>
  </si>
  <si>
    <t>ctrl</t>
  </si>
  <si>
    <t>Public transfers, inflows, OASDI (pension and disability benefits)</t>
  </si>
  <si>
    <t>Public transfers, inflows, other cash, SSI</t>
  </si>
  <si>
    <t>Public transfers, inflows, other cash, EITC</t>
  </si>
  <si>
    <t>Public transfers, inflows, other cash, SNAP</t>
  </si>
  <si>
    <t>Public transfers, inflows, other cash, other maintenance income benefits</t>
  </si>
  <si>
    <t>Public transfers, inflows, other cash, unemployment benefits</t>
  </si>
  <si>
    <t>Public transfers, inflows, other cash, veterans' benefits</t>
  </si>
  <si>
    <t>Public transfers, inflows, other cash, education and training assistance</t>
  </si>
  <si>
    <t>Public transfers, inflows, other cash, not elsewhere classified</t>
  </si>
  <si>
    <t>TGSOAI_S</t>
  </si>
  <si>
    <t>TGXCISSI_S</t>
  </si>
  <si>
    <t>TGXCIEITC_S</t>
  </si>
  <si>
    <t>TGXCISNAP_S</t>
  </si>
  <si>
    <t>TGXCIOW_S</t>
  </si>
  <si>
    <t>TGXCIUNEMP_S</t>
  </si>
  <si>
    <t>TGXCIVETS_S</t>
  </si>
  <si>
    <t>TGXCIEDUC_S</t>
  </si>
  <si>
    <t>TGFGA</t>
  </si>
  <si>
    <t>TGFGT</t>
  </si>
  <si>
    <t>TGFGX</t>
  </si>
  <si>
    <t>TGFKB</t>
  </si>
  <si>
    <t>TGFKH</t>
  </si>
  <si>
    <t>TGFPT</t>
  </si>
  <si>
    <t>TGFPG</t>
  </si>
  <si>
    <t>TGFPR</t>
  </si>
  <si>
    <t>TGFKM</t>
  </si>
  <si>
    <t>TGFKC</t>
  </si>
  <si>
    <t>TGPFICA</t>
  </si>
  <si>
    <t>TGPSECA</t>
  </si>
  <si>
    <t>TGPUNEMP</t>
  </si>
  <si>
    <t>TGD</t>
  </si>
  <si>
    <t>Public tranfers, outflows, taxes on goods and services, alcoholic beverages</t>
  </si>
  <si>
    <t>Public tranfers, outflows, taxes on goods and services, tobacco products</t>
  </si>
  <si>
    <t>Public tranfers, outflows, taxes on goods and services, others not elsewhere classified</t>
  </si>
  <si>
    <t>Public tranfers, outflows, taxes on income, profits and capital gains, households</t>
  </si>
  <si>
    <t>Public tranfers, outflows, taxes on income, profits and capital gains, businesses</t>
  </si>
  <si>
    <t>Public tranfers, outflows, taxes on property, mixed income</t>
  </si>
  <si>
    <t>Public tranfers, outflows, taxes on property, corporations</t>
  </si>
  <si>
    <t>Public transfers, outflows, taxes on property, others</t>
  </si>
  <si>
    <t xml:space="preserve">Public transfers, outflows, taxes on property, estate and trust </t>
  </si>
  <si>
    <t>Public transfers, outflows, taxes on property, estate and gifts</t>
  </si>
  <si>
    <t>Public transfers, outflows, social contributions, FICA</t>
  </si>
  <si>
    <t xml:space="preserve">Public transfers, outflows, social contributions, SECA </t>
  </si>
  <si>
    <t>Public transfers, outflows, social contributions, Unemployment insurance</t>
  </si>
  <si>
    <t>Public transfers, deficit/surplus</t>
  </si>
  <si>
    <t>YKG</t>
  </si>
  <si>
    <t>YPGI</t>
  </si>
  <si>
    <t>YPGO</t>
  </si>
  <si>
    <t>SG</t>
  </si>
  <si>
    <t>SGERSI</t>
  </si>
  <si>
    <t>SGERSO</t>
  </si>
  <si>
    <t>SGNEC</t>
  </si>
  <si>
    <t>Public asset-based reallocations, capital income</t>
  </si>
  <si>
    <t>Public asset-based reallocations, property income, inflow</t>
  </si>
  <si>
    <t>Public asset-based reallocations, property income, outflow</t>
  </si>
  <si>
    <t>Public asset-based reallocations, saving</t>
  </si>
  <si>
    <t>Public asset-based reallocations, saving, others not elsewhere classified</t>
  </si>
  <si>
    <t>TFBI</t>
  </si>
  <si>
    <t>TFBO</t>
  </si>
  <si>
    <t>YKFMICS</t>
  </si>
  <si>
    <t>YKFOWNH</t>
  </si>
  <si>
    <t>YKFCORP</t>
  </si>
  <si>
    <t>YPFI</t>
  </si>
  <si>
    <t>YPFO</t>
  </si>
  <si>
    <t>SF</t>
  </si>
  <si>
    <t>Private asset-based reallocations, capital income, mixed income</t>
  </si>
  <si>
    <t>Private asset-based reallocations, capital income, owner-occupied housing</t>
  </si>
  <si>
    <t>Private asset-based reallocations, capital income, corporations</t>
  </si>
  <si>
    <t>Private asset-based reallocations, property income, inflow</t>
  </si>
  <si>
    <t>Private asset-based reallocations, property income, outflow</t>
  </si>
  <si>
    <t>Private asset-based reallocations, saving</t>
  </si>
  <si>
    <t>Public asset-based reallocations, saving, ERS, outflow (contributions)</t>
  </si>
  <si>
    <t>Public asset-based reallocations, saving, ERS, inflow (inflow)</t>
  </si>
  <si>
    <t>Taxes on property</t>
  </si>
  <si>
    <t>Taxes on income, profits and capital gains</t>
  </si>
  <si>
    <t>Taxes on goods and services</t>
  </si>
  <si>
    <t>TGXCIOTHR_F</t>
  </si>
  <si>
    <t>TGXCIOTHR</t>
  </si>
  <si>
    <t>TGXCIOTHR_S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</si>
</sst>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_-* #,##0_-;\-* #,##0_-;_-* &quot;-&quot;??_-;_-@_-"/>
    <numFmt numFmtId="167" formatCode="0.0000"/>
    <numFmt numFmtId="168" formatCode="#,##0.0000"/>
    <numFmt numFmtId="169" formatCode="0.000"/>
    <numFmt numFmtId="170" formatCode="#,##0.000"/>
  </numFmts>
  <fonts count="11" x14ac:knownFonts="1">
    <font>
      <sz val="11"/>
      <color theme="1"/>
      <name val="Aptos Narrow"/>
      <family val="2"/>
      <scheme val="minor"/>
    </font>
    <font>
      <b/>
      <sz val="11"/>
      <color theme="1"/>
      <name val="Aptos Narrow"/>
      <family val="2"/>
      <scheme val="minor"/>
    </font>
    <font>
      <u/>
      <sz val="11"/>
      <color theme="10"/>
      <name val="Aptos Narrow"/>
      <family val="2"/>
      <scheme val="minor"/>
    </font>
    <font>
      <b/>
      <sz val="10"/>
      <name val="Arial"/>
      <family val="2"/>
    </font>
    <font>
      <i/>
      <sz val="10"/>
      <name val="Arial"/>
      <family val="2"/>
    </font>
    <font>
      <sz val="11"/>
      <color theme="1"/>
      <name val="Aptos Narrow"/>
      <family val="2"/>
      <scheme val="minor"/>
    </font>
    <font>
      <sz val="11"/>
      <color rgb="FFFF0000"/>
      <name val="Aptos Narrow"/>
      <family val="2"/>
      <scheme val="minor"/>
    </font>
    <font>
      <sz val="10"/>
      <name val="Arial"/>
      <family val="2"/>
    </font>
    <font>
      <sz val="10"/>
      <color rgb="FF333333"/>
      <name val="Arial"/>
      <family val="2"/>
    </font>
    <font>
      <i/>
      <sz val="10"/>
      <color rgb="FF212121"/>
      <name val="Segoe UI"/>
      <family val="2"/>
    </font>
    <font>
      <b/>
      <u/>
      <sz val="11"/>
      <color theme="1"/>
      <name val="Aptos Narrow"/>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4">
    <xf numFmtId="0" fontId="0" fillId="0" borderId="0"/>
    <xf numFmtId="0" fontId="2" fillId="0" borderId="0" applyNumberFormat="0" applyFill="0" applyBorder="0" applyAlignment="0" applyProtection="0"/>
    <xf numFmtId="43" fontId="5" fillId="0" borderId="0" applyFont="0" applyFill="0" applyBorder="0" applyAlignment="0" applyProtection="0"/>
    <xf numFmtId="0" fontId="5" fillId="0" borderId="0"/>
  </cellStyleXfs>
  <cellXfs count="120">
    <xf numFmtId="0" fontId="0" fillId="0" borderId="0" xfId="0"/>
    <xf numFmtId="0" fontId="3" fillId="2" borderId="0" xfId="0" applyFont="1" applyFill="1"/>
    <xf numFmtId="0" fontId="0" fillId="2" borderId="0" xfId="0" applyFill="1"/>
    <xf numFmtId="0" fontId="4" fillId="2" borderId="0" xfId="0" applyFont="1" applyFill="1"/>
    <xf numFmtId="3" fontId="0" fillId="2" borderId="0" xfId="0" applyNumberFormat="1" applyFill="1"/>
    <xf numFmtId="0" fontId="0" fillId="2" borderId="1" xfId="0" applyFill="1" applyBorder="1"/>
    <xf numFmtId="0" fontId="0" fillId="2" borderId="0" xfId="0" applyFill="1" applyAlignment="1">
      <alignment horizontal="left" indent="2"/>
    </xf>
    <xf numFmtId="3" fontId="0" fillId="2" borderId="0" xfId="0" applyNumberFormat="1" applyFill="1" applyAlignment="1">
      <alignment horizontal="right"/>
    </xf>
    <xf numFmtId="0" fontId="0" fillId="2" borderId="0" xfId="0" applyFill="1" applyAlignment="1">
      <alignment horizontal="left" indent="4"/>
    </xf>
    <xf numFmtId="0" fontId="0" fillId="2" borderId="2" xfId="0" applyFill="1" applyBorder="1" applyAlignment="1">
      <alignment horizontal="left" indent="2"/>
    </xf>
    <xf numFmtId="3" fontId="0" fillId="2" borderId="2" xfId="0" applyNumberFormat="1" applyFill="1" applyBorder="1"/>
    <xf numFmtId="3" fontId="0" fillId="2" borderId="2" xfId="0" applyNumberFormat="1" applyFill="1" applyBorder="1" applyAlignment="1">
      <alignment horizontal="right"/>
    </xf>
    <xf numFmtId="0" fontId="2" fillId="0" borderId="0" xfId="1"/>
    <xf numFmtId="0" fontId="2" fillId="2" borderId="0" xfId="1" applyFill="1"/>
    <xf numFmtId="0" fontId="0" fillId="2" borderId="0" xfId="0" applyFill="1" applyAlignment="1">
      <alignment wrapText="1"/>
    </xf>
    <xf numFmtId="164" fontId="0" fillId="2" borderId="0" xfId="0" applyNumberFormat="1" applyFill="1"/>
    <xf numFmtId="4" fontId="0" fillId="2" borderId="0" xfId="0" applyNumberFormat="1" applyFill="1"/>
    <xf numFmtId="0" fontId="0" fillId="2" borderId="2" xfId="0" applyFill="1" applyBorder="1"/>
    <xf numFmtId="0" fontId="0" fillId="2" borderId="1" xfId="0" applyFill="1" applyBorder="1" applyAlignment="1">
      <alignment horizontal="center" wrapText="1"/>
    </xf>
    <xf numFmtId="0" fontId="3" fillId="2" borderId="2" xfId="0" applyFont="1" applyFill="1" applyBorder="1"/>
    <xf numFmtId="0" fontId="0" fillId="2" borderId="0" xfId="0" applyFill="1" applyAlignment="1">
      <alignment horizontal="left" indent="6"/>
    </xf>
    <xf numFmtId="0" fontId="0" fillId="2" borderId="0" xfId="0" applyFill="1" applyAlignment="1">
      <alignment horizontal="left" indent="8"/>
    </xf>
    <xf numFmtId="0" fontId="0" fillId="2" borderId="0" xfId="0" applyFill="1" applyAlignment="1">
      <alignment horizontal="left"/>
    </xf>
    <xf numFmtId="0" fontId="0" fillId="2" borderId="0" xfId="0" applyFill="1" applyAlignment="1">
      <alignment horizontal="left" indent="10"/>
    </xf>
    <xf numFmtId="0" fontId="0" fillId="2" borderId="2" xfId="0" applyFill="1" applyBorder="1" applyAlignment="1">
      <alignment horizontal="left" indent="4"/>
    </xf>
    <xf numFmtId="0" fontId="0" fillId="0" borderId="0" xfId="0" applyAlignment="1">
      <alignment horizontal="left" indent="2"/>
    </xf>
    <xf numFmtId="0" fontId="0" fillId="0" borderId="0" xfId="0" applyAlignment="1">
      <alignment horizontal="left"/>
    </xf>
    <xf numFmtId="0" fontId="3" fillId="2" borderId="0" xfId="0" applyFont="1" applyFill="1" applyAlignment="1">
      <alignment wrapText="1"/>
    </xf>
    <xf numFmtId="0" fontId="0" fillId="2" borderId="3" xfId="0" applyFill="1" applyBorder="1"/>
    <xf numFmtId="0" fontId="0" fillId="2" borderId="3" xfId="0" applyFill="1" applyBorder="1" applyAlignment="1">
      <alignment horizontal="center"/>
    </xf>
    <xf numFmtId="0" fontId="0" fillId="2" borderId="0" xfId="0" applyFill="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3" fontId="0" fillId="2" borderId="0" xfId="0" applyNumberFormat="1" applyFill="1" applyAlignment="1">
      <alignment wrapText="1"/>
    </xf>
    <xf numFmtId="0" fontId="2" fillId="0" borderId="0" xfId="1" applyAlignment="1">
      <alignment wrapText="1"/>
    </xf>
    <xf numFmtId="166" fontId="0" fillId="2" borderId="0" xfId="2" applyNumberFormat="1" applyFont="1" applyFill="1"/>
    <xf numFmtId="166" fontId="0" fillId="2" borderId="0" xfId="2" applyNumberFormat="1" applyFont="1" applyFill="1" applyBorder="1"/>
    <xf numFmtId="166" fontId="0" fillId="2" borderId="0" xfId="2" applyNumberFormat="1" applyFont="1" applyFill="1" applyAlignment="1">
      <alignment horizontal="right"/>
    </xf>
    <xf numFmtId="166" fontId="0" fillId="2" borderId="2" xfId="2" applyNumberFormat="1" applyFont="1" applyFill="1" applyBorder="1" applyAlignment="1">
      <alignment horizontal="right"/>
    </xf>
    <xf numFmtId="165" fontId="0" fillId="2" borderId="0" xfId="0" applyNumberFormat="1" applyFill="1"/>
    <xf numFmtId="165" fontId="0" fillId="2" borderId="2" xfId="0" applyNumberFormat="1" applyFill="1" applyBorder="1"/>
    <xf numFmtId="0" fontId="8" fillId="0" borderId="0" xfId="0" applyFont="1" applyAlignment="1">
      <alignment horizontal="left" vertical="center" indent="2"/>
    </xf>
    <xf numFmtId="0" fontId="8" fillId="0" borderId="0" xfId="0" applyFont="1" applyAlignment="1">
      <alignment vertical="center"/>
    </xf>
    <xf numFmtId="0" fontId="1" fillId="2" borderId="0" xfId="0" applyFont="1" applyFill="1"/>
    <xf numFmtId="164" fontId="7" fillId="0" borderId="2" xfId="2" applyNumberFormat="1" applyFont="1" applyFill="1" applyBorder="1"/>
    <xf numFmtId="0" fontId="0" fillId="2" borderId="0" xfId="0" applyFill="1" applyAlignment="1">
      <alignment horizontal="left" indent="5"/>
    </xf>
    <xf numFmtId="0" fontId="0" fillId="2" borderId="0" xfId="0" applyFill="1" applyAlignment="1">
      <alignment horizontal="left" indent="7"/>
    </xf>
    <xf numFmtId="0" fontId="0" fillId="2" borderId="0" xfId="0" applyFill="1" applyAlignment="1">
      <alignment horizontal="left" indent="1"/>
    </xf>
    <xf numFmtId="0" fontId="6" fillId="0" borderId="0" xfId="0" applyFont="1"/>
    <xf numFmtId="0" fontId="6" fillId="2" borderId="0" xfId="0" applyFont="1" applyFill="1"/>
    <xf numFmtId="0" fontId="6" fillId="2" borderId="1" xfId="0" applyFont="1" applyFill="1" applyBorder="1"/>
    <xf numFmtId="3" fontId="6" fillId="2" borderId="0" xfId="0" applyNumberFormat="1" applyFont="1" applyFill="1"/>
    <xf numFmtId="3" fontId="6" fillId="2" borderId="2" xfId="0" applyNumberFormat="1" applyFont="1" applyFill="1" applyBorder="1"/>
    <xf numFmtId="168" fontId="0" fillId="2" borderId="0" xfId="0" applyNumberFormat="1" applyFill="1"/>
    <xf numFmtId="167" fontId="6" fillId="2" borderId="0" xfId="0" applyNumberFormat="1" applyFont="1" applyFill="1"/>
    <xf numFmtId="168" fontId="0" fillId="2" borderId="2" xfId="0" applyNumberFormat="1" applyFill="1" applyBorder="1"/>
    <xf numFmtId="167" fontId="6" fillId="2" borderId="2" xfId="0" applyNumberFormat="1" applyFont="1" applyFill="1" applyBorder="1"/>
    <xf numFmtId="168" fontId="6" fillId="2" borderId="0" xfId="0" applyNumberFormat="1" applyFont="1" applyFill="1"/>
    <xf numFmtId="0" fontId="0" fillId="2" borderId="0" xfId="0" applyFill="1" applyAlignment="1">
      <alignment horizontal="left" vertical="top" wrapText="1"/>
    </xf>
    <xf numFmtId="0" fontId="2" fillId="2" borderId="2" xfId="1" applyFill="1" applyBorder="1"/>
    <xf numFmtId="0" fontId="2" fillId="0" borderId="0" xfId="1" applyAlignment="1">
      <alignment vertical="center" wrapText="1"/>
    </xf>
    <xf numFmtId="0" fontId="9" fillId="0" borderId="0" xfId="0" applyFont="1" applyAlignment="1">
      <alignment vertical="center" wrapText="1"/>
    </xf>
    <xf numFmtId="3" fontId="0" fillId="2" borderId="3" xfId="0" applyNumberFormat="1" applyFill="1" applyBorder="1"/>
    <xf numFmtId="3" fontId="5" fillId="0" borderId="2" xfId="3" applyNumberFormat="1" applyBorder="1" applyAlignment="1">
      <alignment horizontal="right"/>
    </xf>
    <xf numFmtId="0" fontId="5" fillId="0" borderId="0" xfId="3"/>
    <xf numFmtId="169" fontId="0" fillId="2" borderId="0" xfId="0" applyNumberFormat="1" applyFill="1"/>
    <xf numFmtId="3" fontId="1" fillId="2" borderId="0" xfId="0" applyNumberFormat="1" applyFont="1" applyFill="1"/>
    <xf numFmtId="3" fontId="0" fillId="2" borderId="0" xfId="0" applyNumberFormat="1" applyFill="1" applyAlignment="1">
      <alignment horizontal="right" indent="2"/>
    </xf>
    <xf numFmtId="3" fontId="0" fillId="2" borderId="4" xfId="0" applyNumberFormat="1" applyFill="1" applyBorder="1"/>
    <xf numFmtId="0" fontId="0" fillId="2" borderId="5" xfId="0" applyFill="1" applyBorder="1"/>
    <xf numFmtId="3" fontId="0" fillId="2" borderId="6" xfId="0" applyNumberFormat="1" applyFill="1" applyBorder="1"/>
    <xf numFmtId="0" fontId="0" fillId="2" borderId="7" xfId="0" applyFill="1" applyBorder="1" applyAlignment="1">
      <alignment horizontal="left" indent="2"/>
    </xf>
    <xf numFmtId="0" fontId="0" fillId="2" borderId="7" xfId="0" applyFill="1" applyBorder="1" applyAlignment="1">
      <alignment horizontal="left" indent="5"/>
    </xf>
    <xf numFmtId="0" fontId="0" fillId="2" borderId="7" xfId="0" applyFill="1" applyBorder="1" applyAlignment="1">
      <alignment horizontal="left" indent="7"/>
    </xf>
    <xf numFmtId="0" fontId="0" fillId="2" borderId="7" xfId="0" applyFill="1" applyBorder="1" applyAlignment="1">
      <alignment horizontal="left" indent="4"/>
    </xf>
    <xf numFmtId="0" fontId="0" fillId="2" borderId="7" xfId="0" applyFill="1" applyBorder="1"/>
    <xf numFmtId="3" fontId="0" fillId="2" borderId="8" xfId="0" applyNumberFormat="1" applyFill="1" applyBorder="1"/>
    <xf numFmtId="0" fontId="0" fillId="2" borderId="9" xfId="0" applyFill="1" applyBorder="1"/>
    <xf numFmtId="0" fontId="0" fillId="2" borderId="7" xfId="0" applyFill="1" applyBorder="1" applyAlignment="1">
      <alignment horizontal="left" indent="6"/>
    </xf>
    <xf numFmtId="0" fontId="0" fillId="2" borderId="9" xfId="0" applyFill="1" applyBorder="1" applyAlignment="1">
      <alignment horizontal="left" indent="2"/>
    </xf>
    <xf numFmtId="3" fontId="0" fillId="2" borderId="0" xfId="0" applyNumberFormat="1" applyFill="1" applyAlignment="1">
      <alignment horizontal="left" indent="2"/>
    </xf>
    <xf numFmtId="3" fontId="0" fillId="2" borderId="0" xfId="0" applyNumberFormat="1" applyFill="1" applyAlignment="1">
      <alignment horizontal="left" indent="4"/>
    </xf>
    <xf numFmtId="3" fontId="0" fillId="2" borderId="0" xfId="0" applyNumberFormat="1" applyFill="1" applyAlignment="1">
      <alignment horizontal="left"/>
    </xf>
    <xf numFmtId="3" fontId="0" fillId="2" borderId="0" xfId="0" applyNumberFormat="1" applyFill="1" applyAlignment="1">
      <alignment horizontal="left" indent="8"/>
    </xf>
    <xf numFmtId="3" fontId="0" fillId="2" borderId="0" xfId="0" applyNumberFormat="1" applyFill="1" applyAlignment="1">
      <alignment horizontal="left" indent="6"/>
    </xf>
    <xf numFmtId="3" fontId="3" fillId="2" borderId="0" xfId="0" applyNumberFormat="1" applyFont="1" applyFill="1"/>
    <xf numFmtId="3" fontId="0" fillId="2" borderId="7" xfId="0" applyNumberFormat="1" applyFill="1" applyBorder="1"/>
    <xf numFmtId="3" fontId="0" fillId="2" borderId="7" xfId="0" applyNumberFormat="1" applyFill="1" applyBorder="1" applyAlignment="1">
      <alignment horizontal="left" indent="2"/>
    </xf>
    <xf numFmtId="3" fontId="0" fillId="2" borderId="7" xfId="0" applyNumberFormat="1" applyFill="1" applyBorder="1" applyAlignment="1">
      <alignment horizontal="left" indent="4"/>
    </xf>
    <xf numFmtId="3" fontId="0" fillId="2" borderId="7" xfId="0" applyNumberFormat="1" applyFill="1" applyBorder="1" applyAlignment="1">
      <alignment horizontal="left" indent="6"/>
    </xf>
    <xf numFmtId="3" fontId="0" fillId="2" borderId="7" xfId="0" applyNumberFormat="1" applyFill="1" applyBorder="1" applyAlignment="1">
      <alignment horizontal="left" indent="7"/>
    </xf>
    <xf numFmtId="3" fontId="0" fillId="2" borderId="7" xfId="0" applyNumberFormat="1" applyFill="1" applyBorder="1" applyAlignment="1">
      <alignment horizontal="left" indent="9"/>
    </xf>
    <xf numFmtId="3" fontId="0" fillId="2" borderId="7" xfId="0" applyNumberFormat="1" applyFill="1" applyBorder="1" applyAlignment="1">
      <alignment horizontal="left" indent="8"/>
    </xf>
    <xf numFmtId="3" fontId="0" fillId="2" borderId="7" xfId="0" applyNumberFormat="1" applyFill="1" applyBorder="1" applyAlignment="1">
      <alignment horizontal="left" indent="10"/>
    </xf>
    <xf numFmtId="3" fontId="0" fillId="2" borderId="9" xfId="0" applyNumberFormat="1" applyFill="1" applyBorder="1" applyAlignment="1">
      <alignment horizontal="left" indent="4"/>
    </xf>
    <xf numFmtId="0" fontId="0" fillId="2" borderId="0" xfId="0" applyFill="1" applyAlignment="1">
      <alignment vertical="top" wrapText="1"/>
    </xf>
    <xf numFmtId="3" fontId="0" fillId="2" borderId="10" xfId="0" applyNumberFormat="1" applyFill="1" applyBorder="1"/>
    <xf numFmtId="3" fontId="0" fillId="2" borderId="5" xfId="0" applyNumberFormat="1" applyFill="1" applyBorder="1"/>
    <xf numFmtId="3" fontId="6" fillId="2" borderId="11" xfId="0" applyNumberFormat="1" applyFont="1" applyFill="1" applyBorder="1"/>
    <xf numFmtId="3" fontId="0" fillId="2" borderId="11" xfId="0" applyNumberFormat="1" applyFill="1" applyBorder="1"/>
    <xf numFmtId="169" fontId="6" fillId="2" borderId="0" xfId="0" applyNumberFormat="1" applyFont="1" applyFill="1"/>
    <xf numFmtId="166" fontId="0" fillId="2" borderId="0" xfId="0" applyNumberFormat="1" applyFill="1"/>
    <xf numFmtId="170" fontId="0" fillId="2" borderId="0" xfId="0" applyNumberFormat="1" applyFill="1"/>
    <xf numFmtId="166" fontId="0" fillId="0" borderId="0" xfId="2" applyNumberFormat="1" applyFont="1"/>
    <xf numFmtId="166" fontId="0" fillId="0" borderId="0" xfId="0" applyNumberFormat="1"/>
    <xf numFmtId="2" fontId="0" fillId="2" borderId="0" xfId="0" applyNumberFormat="1" applyFill="1"/>
    <xf numFmtId="3" fontId="10" fillId="2" borderId="0" xfId="0" applyNumberFormat="1" applyFont="1" applyFill="1"/>
    <xf numFmtId="0" fontId="0" fillId="2" borderId="0" xfId="0" applyFill="1" applyAlignment="1">
      <alignment horizontal="left" vertical="top" wrapText="1"/>
    </xf>
    <xf numFmtId="0" fontId="0" fillId="2" borderId="0" xfId="0" applyFill="1" applyAlignment="1">
      <alignment horizontal="left" wrapText="1"/>
    </xf>
    <xf numFmtId="0" fontId="0" fillId="2" borderId="3"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vertical="center" wrapText="1"/>
    </xf>
    <xf numFmtId="0" fontId="0" fillId="2" borderId="0" xfId="0" applyFill="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left"/>
    </xf>
    <xf numFmtId="0" fontId="1" fillId="0" borderId="0" xfId="0" applyFont="1"/>
  </cellXfs>
  <cellStyles count="4">
    <cellStyle name="Comma" xfId="2" builtinId="3"/>
    <cellStyle name="Hyperlink" xfId="1" builtinId="8"/>
    <cellStyle name="Normal" xfId="0" builtinId="0"/>
    <cellStyle name="Normal 100" xfId="3" xr:uid="{A4549531-E49D-4B73-9AFF-4CBEE97160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microsoft.com/office/2017/10/relationships/person" Target="persons/person.xml"/><Relationship Id="rId30"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3" Type="http://schemas.openxmlformats.org/officeDocument/2006/relationships/hyperlink" Target="https://www.trade.gov/i-94-arrivals-historical-data" TargetMode="External"/><Relationship Id="rId2" Type="http://schemas.openxmlformats.org/officeDocument/2006/relationships/hyperlink" Target="https://www.ustravel.org/answersheet" TargetMode="External"/><Relationship Id="rId1" Type="http://schemas.openxmlformats.org/officeDocument/2006/relationships/hyperlink" Target="https://dbedt.hawaii.gov/economic/databook/data_book_time_series/"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apps.bea.gov/regional/downloadzip.cfm?_gl=1*1ckbpi3*_ga*NzcwOTA3NDE0LjE3MDUwMzA3NDg.*_ga_J4698JNNFT*MTcwNjg0NDc1NC4xMS4xLjE3MDY4NDc5NzYuNTguMC4w" TargetMode="External"/><Relationship Id="rId1" Type="http://schemas.openxmlformats.org/officeDocument/2006/relationships/hyperlink" Target="https://www.bea.gov/data/gdp/gdp-state"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bea.gov/data/gdp/gdp-state"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https://dbedt.hawaii.gov/economic/databook/db2022/" TargetMode="External"/><Relationship Id="rId1" Type="http://schemas.openxmlformats.org/officeDocument/2006/relationships/hyperlink" Target="http://dbedt.hawaii.gov/economic/databook/" TargetMode="External"/></Relationships>
</file>

<file path=xl/worksheets/_rels/sheet15.xml.rels><?xml version="1.0" encoding="UTF-8" standalone="yes"?>
<Relationships xmlns="http://schemas.openxmlformats.org/package/2006/relationships"><Relationship Id="rId2" Type="http://schemas.openxmlformats.org/officeDocument/2006/relationships/hyperlink" Target="https://www.bls.gov/regions/west/news-release/consumerexpenditures_honolulu.htm" TargetMode="External"/><Relationship Id="rId1" Type="http://schemas.openxmlformats.org/officeDocument/2006/relationships/hyperlink" Target="https://files.hawaii.gov/dbedt/economic/reports/CE_Oahu_Survey_Final.pdf"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https://www.cms.gov/data-research/statistics-trends-and-reports/national-health-expenditure-data/projected" TargetMode="External"/><Relationship Id="rId1" Type="http://schemas.openxmlformats.org/officeDocument/2006/relationships/hyperlink" Target="https://www.cms.gov/data-research/statistics-trends-and-reports/national-health-expenditure-data/state-residence"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dbedt.hawaii.gov/economic/reports_studies/2007-io/" TargetMode="External"/><Relationship Id="rId2" Type="http://schemas.openxmlformats.org/officeDocument/2006/relationships/hyperlink" Target="http://dbedt.hawaii.gov/economic/reports_studies/2002_state_io/" TargetMode="External"/><Relationship Id="rId1" Type="http://schemas.openxmlformats.org/officeDocument/2006/relationships/hyperlink" Target="http://dbedt.hawaii.gov/economic/reports_studies/input-output/" TargetMode="External"/><Relationship Id="rId5" Type="http://schemas.openxmlformats.org/officeDocument/2006/relationships/hyperlink" Target="https://dbedt.hawaii.gov/economic/reports_studies/2017-io/" TargetMode="External"/><Relationship Id="rId4" Type="http://schemas.openxmlformats.org/officeDocument/2006/relationships/hyperlink" Target="http://dbedt.hawaii.gov/economic/reports_studies/2012-io/"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s://labor.hawaii.gov/find-a-report/" TargetMode="External"/></Relationships>
</file>

<file path=xl/worksheets/_rels/sheet20.xml.rels><?xml version="1.0" encoding="UTF-8" standalone="yes"?>
<Relationships xmlns="http://schemas.openxmlformats.org/package/2006/relationships"><Relationship Id="rId2" Type="http://schemas.openxmlformats.org/officeDocument/2006/relationships/hyperlink" Target="https://view.officeapps.live.com/op/view.aspx?src=https%3A%2F%2Fapps.bea.gov%2Fhistdata%2FReleases%2FGDP_and_PI%2F2023%2FQ4%2FAdvance_January-25-2024%2FSection3all_xls.xlsx&amp;wdOrigin=BROWSELINK" TargetMode="External"/><Relationship Id="rId1" Type="http://schemas.openxmlformats.org/officeDocument/2006/relationships/hyperlink" Target="https://apps.bea.gov/histdata/fileStructDisplay.cfm?HMI=7&amp;DY=2023&amp;DQ=Q4&amp;DV=Advance&amp;dNRD=January-25-2024"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www.ssa.gov/policy/docs/statcomps/supplement/" TargetMode="External"/><Relationship Id="rId2" Type="http://schemas.openxmlformats.org/officeDocument/2006/relationships/hyperlink" Target="https://www.ssa.gov/policy/docs/statcomps/supplement/" TargetMode="External"/><Relationship Id="rId1" Type="http://schemas.openxmlformats.org/officeDocument/2006/relationships/hyperlink" Target="https://www.ssa.gov/policy/docs/statcomps/supplement/" TargetMode="External"/><Relationship Id="rId4" Type="http://schemas.openxmlformats.org/officeDocument/2006/relationships/hyperlink" Target="https://www.ssa.gov/policy/docs/statcomps/supplement/index.html" TargetMode="External"/></Relationships>
</file>

<file path=xl/worksheets/_rels/sheet22.xml.rels><?xml version="1.0" encoding="UTF-8" standalone="yes"?>
<Relationships xmlns="http://schemas.openxmlformats.org/package/2006/relationships"><Relationship Id="rId2" Type="http://schemas.openxmlformats.org/officeDocument/2006/relationships/hyperlink" Target="https://view.officeapps.live.com/op/view.aspx?src=https%3A%2F%2Fapps.bea.gov%2Fhistdata%2FReleases%2FGDP_and_PI%2F2023%2FQ4%2FAdvance_January-25-2024%2FSection3all_xls.xlsx&amp;wdOrigin=BROWSELINK" TargetMode="External"/><Relationship Id="rId1" Type="http://schemas.openxmlformats.org/officeDocument/2006/relationships/hyperlink" Target="https://apps.bea.gov/histdata/fileStructDisplay.cfm?HMI=7&amp;DY=2023&amp;DQ=Q4&amp;DV=Advance&amp;dNRD=January-25-2024"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bea.gov/data/gdp/gdp-sta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bea.gov/data/gdp/gdp-state"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bea.gov/national/sna-and-nipas"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census.gov/programs-surveys/gov-finances/data/datasets.All.html"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census.gov/programs-surveys/gov-finances/data/datasets.Al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3B461-1CAC-4CB1-A275-13F0102A2A62}">
  <sheetPr>
    <tabColor theme="5"/>
  </sheetPr>
  <dimension ref="B2:L299"/>
  <sheetViews>
    <sheetView tabSelected="1" zoomScale="90" zoomScaleNormal="90" workbookViewId="0"/>
  </sheetViews>
  <sheetFormatPr defaultRowHeight="14.5" x14ac:dyDescent="0.35"/>
  <cols>
    <col min="1" max="1" width="8.7265625" style="2"/>
    <col min="2" max="2" width="29.54296875" style="2" customWidth="1"/>
    <col min="3" max="3" width="1.6328125" style="2" customWidth="1"/>
    <col min="4" max="4" width="8.7265625" style="2"/>
    <col min="5" max="5" width="11.08984375" style="4" customWidth="1"/>
    <col min="6" max="6" width="78.6328125" style="2" customWidth="1"/>
    <col min="7" max="8" width="8.7265625" style="2"/>
    <col min="9" max="9" width="9.1796875" style="2" bestFit="1" customWidth="1"/>
    <col min="10" max="16384" width="8.7265625" style="2"/>
  </cols>
  <sheetData>
    <row r="2" spans="2:9" x14ac:dyDescent="0.35">
      <c r="B2" s="44" t="s">
        <v>854</v>
      </c>
    </row>
    <row r="4" spans="2:9" ht="14.5" customHeight="1" x14ac:dyDescent="0.35">
      <c r="B4" s="108" t="s">
        <v>0</v>
      </c>
      <c r="E4" s="67" t="s">
        <v>1</v>
      </c>
    </row>
    <row r="5" spans="2:9" x14ac:dyDescent="0.35">
      <c r="B5" s="108"/>
      <c r="E5" s="4">
        <f>'T1'!AB7</f>
        <v>55031.399999999994</v>
      </c>
      <c r="F5" s="2" t="s">
        <v>5</v>
      </c>
      <c r="G5" s="2" t="s">
        <v>833</v>
      </c>
    </row>
    <row r="6" spans="2:9" x14ac:dyDescent="0.35">
      <c r="B6" s="108"/>
    </row>
    <row r="8" spans="2:9" ht="14.5" customHeight="1" x14ac:dyDescent="0.35">
      <c r="B8" s="108" t="s">
        <v>47</v>
      </c>
      <c r="E8" s="67" t="s">
        <v>556</v>
      </c>
    </row>
    <row r="9" spans="2:9" x14ac:dyDescent="0.35">
      <c r="B9" s="108"/>
      <c r="E9" s="4">
        <f>'T1'!AB12</f>
        <v>6521</v>
      </c>
      <c r="F9" s="2" t="s">
        <v>48</v>
      </c>
      <c r="G9" s="2" t="s">
        <v>833</v>
      </c>
      <c r="I9" s="4"/>
    </row>
    <row r="10" spans="2:9" x14ac:dyDescent="0.35">
      <c r="B10" s="108"/>
      <c r="E10" s="4">
        <f>'T2'!AB11</f>
        <v>36771.300000000003</v>
      </c>
      <c r="F10" s="2" t="s">
        <v>551</v>
      </c>
      <c r="G10" s="2" t="s">
        <v>834</v>
      </c>
      <c r="I10" s="4"/>
    </row>
    <row r="11" spans="2:9" x14ac:dyDescent="0.35">
      <c r="B11" s="108"/>
      <c r="E11" s="4">
        <f>E10-E9</f>
        <v>30250.300000000003</v>
      </c>
      <c r="F11" s="2" t="s">
        <v>550</v>
      </c>
      <c r="G11" s="2" t="s">
        <v>49</v>
      </c>
    </row>
    <row r="12" spans="2:9" x14ac:dyDescent="0.35">
      <c r="B12" s="108"/>
    </row>
    <row r="13" spans="2:9" x14ac:dyDescent="0.35">
      <c r="B13" s="108"/>
      <c r="E13" s="67" t="s">
        <v>50</v>
      </c>
    </row>
    <row r="14" spans="2:9" x14ac:dyDescent="0.35">
      <c r="B14" s="108"/>
      <c r="E14" s="4">
        <f>'T3'!F16</f>
        <v>8250.6890000000003</v>
      </c>
      <c r="F14" s="2" t="s">
        <v>100</v>
      </c>
      <c r="G14" s="2" t="s">
        <v>835</v>
      </c>
    </row>
    <row r="15" spans="2:9" x14ac:dyDescent="0.35">
      <c r="E15" s="4">
        <f>'T3'!F33</f>
        <v>3291.4470000000001</v>
      </c>
      <c r="F15" s="2" t="s">
        <v>101</v>
      </c>
      <c r="G15" s="2" t="s">
        <v>835</v>
      </c>
    </row>
    <row r="17" spans="5:7" x14ac:dyDescent="0.35">
      <c r="E17" s="4">
        <f>E15/E14*(E9+E11)</f>
        <v>14669.173092222965</v>
      </c>
      <c r="F17" s="2" t="s">
        <v>836</v>
      </c>
      <c r="G17" s="2" t="s">
        <v>49</v>
      </c>
    </row>
    <row r="19" spans="5:7" x14ac:dyDescent="0.35">
      <c r="E19" s="67" t="s">
        <v>102</v>
      </c>
    </row>
    <row r="20" spans="5:7" x14ac:dyDescent="0.35">
      <c r="E20" s="4">
        <f>E9*2/3</f>
        <v>4347.333333333333</v>
      </c>
      <c r="F20" s="2" t="s">
        <v>103</v>
      </c>
      <c r="G20" s="2" t="s">
        <v>49</v>
      </c>
    </row>
    <row r="21" spans="5:7" x14ac:dyDescent="0.35">
      <c r="E21" s="4">
        <f>E9*1/3</f>
        <v>2173.6666666666665</v>
      </c>
      <c r="F21" s="2" t="s">
        <v>104</v>
      </c>
      <c r="G21" s="2" t="s">
        <v>49</v>
      </c>
    </row>
    <row r="23" spans="5:7" x14ac:dyDescent="0.35">
      <c r="E23" s="67" t="s">
        <v>105</v>
      </c>
    </row>
    <row r="24" spans="5:7" x14ac:dyDescent="0.35">
      <c r="E24" s="4">
        <f>E17*(E21/(E21+E11))</f>
        <v>983.40505052729452</v>
      </c>
      <c r="F24" s="2" t="s">
        <v>106</v>
      </c>
      <c r="G24" s="2" t="s">
        <v>49</v>
      </c>
    </row>
    <row r="25" spans="5:7" x14ac:dyDescent="0.35">
      <c r="E25" s="4">
        <f>E17*(E11/(E21+E11))</f>
        <v>13685.76804169567</v>
      </c>
      <c r="F25" s="2" t="s">
        <v>107</v>
      </c>
      <c r="G25" s="2" t="s">
        <v>49</v>
      </c>
    </row>
    <row r="27" spans="5:7" x14ac:dyDescent="0.35">
      <c r="E27" s="67" t="s">
        <v>108</v>
      </c>
    </row>
    <row r="28" spans="5:7" x14ac:dyDescent="0.35">
      <c r="E28" s="4">
        <f>E21-E24</f>
        <v>1190.2616161393721</v>
      </c>
      <c r="F28" s="2" t="s">
        <v>110</v>
      </c>
      <c r="G28" s="2" t="s">
        <v>49</v>
      </c>
    </row>
    <row r="29" spans="5:7" x14ac:dyDescent="0.35">
      <c r="E29" s="4">
        <f>E11-E25</f>
        <v>16564.531958304331</v>
      </c>
      <c r="F29" s="2" t="s">
        <v>109</v>
      </c>
      <c r="G29" s="2" t="s">
        <v>49</v>
      </c>
    </row>
    <row r="30" spans="5:7" x14ac:dyDescent="0.35">
      <c r="E30" s="4" t="s">
        <v>111</v>
      </c>
    </row>
    <row r="31" spans="5:7" x14ac:dyDescent="0.35">
      <c r="E31" s="4" t="s">
        <v>112</v>
      </c>
    </row>
    <row r="33" spans="2:7" x14ac:dyDescent="0.35">
      <c r="B33" s="108" t="s">
        <v>221</v>
      </c>
      <c r="E33" s="67" t="s">
        <v>225</v>
      </c>
    </row>
    <row r="34" spans="2:7" x14ac:dyDescent="0.35">
      <c r="B34" s="108"/>
      <c r="E34" s="4">
        <f>'T4'!P9</f>
        <v>22813.152873508356</v>
      </c>
      <c r="F34" s="2" t="s">
        <v>230</v>
      </c>
      <c r="G34" s="2" t="s">
        <v>837</v>
      </c>
    </row>
    <row r="35" spans="2:7" x14ac:dyDescent="0.35">
      <c r="B35" s="108"/>
      <c r="E35" s="4">
        <f>'T4'!P11</f>
        <v>3271.9409505401504</v>
      </c>
      <c r="F35" s="2" t="s">
        <v>231</v>
      </c>
      <c r="G35" s="2" t="s">
        <v>837</v>
      </c>
    </row>
    <row r="36" spans="2:7" x14ac:dyDescent="0.35">
      <c r="B36" s="59"/>
      <c r="E36" s="4">
        <f>'T4'!P14</f>
        <v>229.45173187288634</v>
      </c>
      <c r="F36" s="2" t="s">
        <v>547</v>
      </c>
      <c r="G36" s="2" t="s">
        <v>837</v>
      </c>
    </row>
    <row r="37" spans="2:7" x14ac:dyDescent="0.35">
      <c r="B37" s="59"/>
      <c r="E37" s="4">
        <f>'T4'!P15</f>
        <v>536.04855998439143</v>
      </c>
      <c r="F37" s="2" t="s">
        <v>548</v>
      </c>
      <c r="G37" s="2" t="s">
        <v>837</v>
      </c>
    </row>
    <row r="38" spans="2:7" x14ac:dyDescent="0.35">
      <c r="B38" s="59"/>
      <c r="E38" s="4">
        <f>'T4'!P16</f>
        <v>1988.6849793746253</v>
      </c>
      <c r="F38" s="2" t="s">
        <v>549</v>
      </c>
      <c r="G38" s="2" t="s">
        <v>837</v>
      </c>
    </row>
    <row r="39" spans="2:7" x14ac:dyDescent="0.35">
      <c r="E39" s="4">
        <f>'T5'!P29+'T5'!P49+'T5'!P54</f>
        <v>3812.4462947440602</v>
      </c>
      <c r="F39" s="2" t="s">
        <v>232</v>
      </c>
      <c r="G39" s="2" t="s">
        <v>838</v>
      </c>
    </row>
    <row r="40" spans="2:7" x14ac:dyDescent="0.35">
      <c r="E40" s="4">
        <f>E34-SUM(E35:E39)</f>
        <v>12974.580356992243</v>
      </c>
      <c r="F40" s="2" t="s">
        <v>223</v>
      </c>
      <c r="G40" s="2" t="s">
        <v>49</v>
      </c>
    </row>
    <row r="41" spans="2:7" x14ac:dyDescent="0.35">
      <c r="F41" s="2" t="s">
        <v>224</v>
      </c>
    </row>
    <row r="43" spans="2:7" x14ac:dyDescent="0.35">
      <c r="F43" s="2" t="s">
        <v>903</v>
      </c>
    </row>
    <row r="44" spans="2:7" x14ac:dyDescent="0.35">
      <c r="E44" s="106">
        <f>'T13'!G10/'T13'!G6</f>
        <v>0.10583481259853582</v>
      </c>
      <c r="F44" s="2" t="s">
        <v>905</v>
      </c>
      <c r="G44" s="2" t="s">
        <v>904</v>
      </c>
    </row>
    <row r="45" spans="2:7" x14ac:dyDescent="0.35">
      <c r="E45" s="4">
        <f>E44*'T2'!AB6</f>
        <v>10698.058027972756</v>
      </c>
      <c r="F45" s="2" t="s">
        <v>906</v>
      </c>
      <c r="G45" s="2" t="s">
        <v>49</v>
      </c>
    </row>
    <row r="46" spans="2:7" x14ac:dyDescent="0.35">
      <c r="E46" s="4">
        <f>'T4'!P11</f>
        <v>3271.9409505401504</v>
      </c>
      <c r="F46" s="2" t="s">
        <v>231</v>
      </c>
      <c r="G46" s="2" t="s">
        <v>837</v>
      </c>
    </row>
    <row r="47" spans="2:7" x14ac:dyDescent="0.35">
      <c r="E47" s="4">
        <f>E45-E46</f>
        <v>7426.1170774326056</v>
      </c>
      <c r="F47" s="2" t="s">
        <v>223</v>
      </c>
      <c r="G47" s="2" t="s">
        <v>49</v>
      </c>
    </row>
    <row r="49" spans="5:7" x14ac:dyDescent="0.35">
      <c r="E49" s="67" t="s">
        <v>234</v>
      </c>
    </row>
    <row r="50" spans="5:7" x14ac:dyDescent="0.35">
      <c r="E50" s="4">
        <f>E51+E55+E59</f>
        <v>3618.5045542156613</v>
      </c>
      <c r="F50" s="2" t="s">
        <v>138</v>
      </c>
      <c r="G50" s="2" t="s">
        <v>49</v>
      </c>
    </row>
    <row r="51" spans="5:7" x14ac:dyDescent="0.35">
      <c r="E51" s="4">
        <f>E52-E53-E54</f>
        <v>2525.6736007737991</v>
      </c>
      <c r="F51" s="6" t="s">
        <v>227</v>
      </c>
      <c r="G51" s="2" t="s">
        <v>49</v>
      </c>
    </row>
    <row r="52" spans="5:7" x14ac:dyDescent="0.35">
      <c r="E52" s="4">
        <f>'T4'!P28</f>
        <v>2888.7227478248806</v>
      </c>
      <c r="F52" s="8" t="s">
        <v>176</v>
      </c>
      <c r="G52" s="2" t="s">
        <v>837</v>
      </c>
    </row>
    <row r="53" spans="5:7" x14ac:dyDescent="0.35">
      <c r="E53" s="4">
        <f>'T4'!P29</f>
        <v>333.02591521609872</v>
      </c>
      <c r="F53" s="8" t="s">
        <v>222</v>
      </c>
      <c r="G53" s="2" t="s">
        <v>837</v>
      </c>
    </row>
    <row r="54" spans="5:7" x14ac:dyDescent="0.35">
      <c r="E54" s="4">
        <f>'T5'!P32</f>
        <v>30.023231834982784</v>
      </c>
      <c r="F54" s="8" t="s">
        <v>226</v>
      </c>
      <c r="G54" s="2" t="s">
        <v>838</v>
      </c>
    </row>
    <row r="55" spans="5:7" x14ac:dyDescent="0.35">
      <c r="E55" s="4">
        <f>E56-E57-E58</f>
        <v>852.73590904353</v>
      </c>
      <c r="F55" s="6" t="s">
        <v>189</v>
      </c>
      <c r="G55" s="2" t="s">
        <v>49</v>
      </c>
    </row>
    <row r="56" spans="5:7" x14ac:dyDescent="0.35">
      <c r="E56" s="4">
        <f>'T4'!P26</f>
        <v>1625.7327780864753</v>
      </c>
      <c r="F56" s="8" t="s">
        <v>176</v>
      </c>
      <c r="G56" s="2" t="s">
        <v>837</v>
      </c>
    </row>
    <row r="57" spans="5:7" x14ac:dyDescent="0.35">
      <c r="E57" s="4">
        <f>'T4'!P27</f>
        <v>254.2643056359405</v>
      </c>
      <c r="F57" s="8" t="s">
        <v>222</v>
      </c>
      <c r="G57" s="2" t="s">
        <v>837</v>
      </c>
    </row>
    <row r="58" spans="5:7" x14ac:dyDescent="0.35">
      <c r="E58" s="4">
        <f>'T5'!P31</f>
        <v>518.73256340700482</v>
      </c>
      <c r="F58" s="8" t="s">
        <v>226</v>
      </c>
      <c r="G58" s="2" t="s">
        <v>838</v>
      </c>
    </row>
    <row r="59" spans="5:7" x14ac:dyDescent="0.35">
      <c r="E59" s="4">
        <f>E60-E61-E62</f>
        <v>240.09504439833191</v>
      </c>
      <c r="F59" s="6" t="s">
        <v>228</v>
      </c>
      <c r="G59" s="2" t="s">
        <v>49</v>
      </c>
    </row>
    <row r="60" spans="5:7" x14ac:dyDescent="0.35">
      <c r="E60" s="4">
        <f>'T4'!P30+'T4'!P31</f>
        <v>240.09504439833191</v>
      </c>
      <c r="F60" s="8" t="s">
        <v>176</v>
      </c>
      <c r="G60" s="2" t="s">
        <v>837</v>
      </c>
    </row>
    <row r="61" spans="5:7" x14ac:dyDescent="0.35">
      <c r="E61" s="4">
        <v>0</v>
      </c>
      <c r="F61" s="8" t="s">
        <v>222</v>
      </c>
      <c r="G61" s="2" t="s">
        <v>233</v>
      </c>
    </row>
    <row r="62" spans="5:7" x14ac:dyDescent="0.35">
      <c r="E62" s="4">
        <v>0</v>
      </c>
      <c r="F62" s="8" t="s">
        <v>226</v>
      </c>
      <c r="G62" s="2" t="s">
        <v>233</v>
      </c>
    </row>
    <row r="63" spans="5:7" x14ac:dyDescent="0.35">
      <c r="E63" s="4">
        <f>E64+E68</f>
        <v>866.21815181928116</v>
      </c>
      <c r="F63" s="2" t="s">
        <v>198</v>
      </c>
      <c r="G63" s="2" t="s">
        <v>49</v>
      </c>
    </row>
    <row r="64" spans="5:7" x14ac:dyDescent="0.35">
      <c r="E64" s="4">
        <f>E65-E66-E67</f>
        <v>94.094110559315254</v>
      </c>
      <c r="F64" s="6" t="s">
        <v>141</v>
      </c>
      <c r="G64" s="2" t="s">
        <v>49</v>
      </c>
    </row>
    <row r="65" spans="5:7" x14ac:dyDescent="0.35">
      <c r="E65" s="4">
        <f>'T4'!P37</f>
        <v>863.25602746085588</v>
      </c>
      <c r="F65" s="8" t="s">
        <v>176</v>
      </c>
      <c r="G65" s="2" t="s">
        <v>837</v>
      </c>
    </row>
    <row r="66" spans="5:7" x14ac:dyDescent="0.35">
      <c r="E66" s="4">
        <f>'T4'!P38</f>
        <v>17.816633013462869</v>
      </c>
      <c r="F66" s="8" t="s">
        <v>222</v>
      </c>
      <c r="G66" s="2" t="s">
        <v>837</v>
      </c>
    </row>
    <row r="67" spans="5:7" x14ac:dyDescent="0.35">
      <c r="E67" s="4">
        <f>'T5'!P33</f>
        <v>751.3452838880778</v>
      </c>
      <c r="F67" s="8" t="s">
        <v>226</v>
      </c>
      <c r="G67" s="2" t="s">
        <v>838</v>
      </c>
    </row>
    <row r="68" spans="5:7" x14ac:dyDescent="0.35">
      <c r="E68" s="4">
        <f>E69-E70-E71</f>
        <v>772.12404125996591</v>
      </c>
      <c r="F68" s="6" t="s">
        <v>228</v>
      </c>
      <c r="G68" s="2" t="s">
        <v>49</v>
      </c>
    </row>
    <row r="69" spans="5:7" x14ac:dyDescent="0.35">
      <c r="E69" s="4">
        <f>'T4'!P39</f>
        <v>772.12404125996591</v>
      </c>
      <c r="F69" s="8" t="s">
        <v>176</v>
      </c>
      <c r="G69" s="2" t="s">
        <v>837</v>
      </c>
    </row>
    <row r="70" spans="5:7" x14ac:dyDescent="0.35">
      <c r="E70" s="4">
        <v>0</v>
      </c>
      <c r="F70" s="8" t="s">
        <v>222</v>
      </c>
      <c r="G70" s="2" t="s">
        <v>233</v>
      </c>
    </row>
    <row r="71" spans="5:7" x14ac:dyDescent="0.35">
      <c r="E71" s="4">
        <v>0</v>
      </c>
      <c r="F71" s="8" t="s">
        <v>226</v>
      </c>
      <c r="G71" s="2" t="s">
        <v>233</v>
      </c>
    </row>
    <row r="72" spans="5:7" x14ac:dyDescent="0.35">
      <c r="E72" s="4">
        <f>E47-E50-E63</f>
        <v>2941.3943713976632</v>
      </c>
      <c r="F72" s="22" t="s">
        <v>229</v>
      </c>
      <c r="G72" s="2" t="s">
        <v>49</v>
      </c>
    </row>
    <row r="74" spans="5:7" x14ac:dyDescent="0.35">
      <c r="E74" s="67" t="s">
        <v>235</v>
      </c>
    </row>
    <row r="75" spans="5:7" x14ac:dyDescent="0.35">
      <c r="E75" s="4">
        <f>'T6'!E20</f>
        <v>1440196</v>
      </c>
      <c r="F75" s="2" t="s">
        <v>255</v>
      </c>
      <c r="G75" s="2" t="s">
        <v>839</v>
      </c>
    </row>
    <row r="76" spans="5:7" x14ac:dyDescent="0.35">
      <c r="E76" s="4">
        <f>'T6'!K20</f>
        <v>232154</v>
      </c>
      <c r="F76" s="2" t="s">
        <v>256</v>
      </c>
      <c r="G76" s="2" t="s">
        <v>839</v>
      </c>
    </row>
    <row r="78" spans="5:7" x14ac:dyDescent="0.35">
      <c r="E78" s="4">
        <f>E72</f>
        <v>2941.3943713976632</v>
      </c>
      <c r="F78" s="2" t="s">
        <v>257</v>
      </c>
      <c r="G78" s="2" t="s">
        <v>840</v>
      </c>
    </row>
    <row r="79" spans="5:7" x14ac:dyDescent="0.35">
      <c r="E79" s="4">
        <f>E78*(E75/(E75+E76))</f>
        <v>2533.0728663912632</v>
      </c>
      <c r="F79" s="2" t="s">
        <v>258</v>
      </c>
      <c r="G79" s="2" t="s">
        <v>49</v>
      </c>
    </row>
    <row r="80" spans="5:7" x14ac:dyDescent="0.35">
      <c r="E80" s="4">
        <f>E78*(E76/(E75+E76))</f>
        <v>408.3215050064</v>
      </c>
      <c r="F80" s="2" t="s">
        <v>259</v>
      </c>
      <c r="G80" s="2" t="s">
        <v>49</v>
      </c>
    </row>
    <row r="82" spans="2:12" x14ac:dyDescent="0.35">
      <c r="B82" s="108" t="s">
        <v>260</v>
      </c>
      <c r="E82" s="67" t="s">
        <v>261</v>
      </c>
    </row>
    <row r="83" spans="2:12" x14ac:dyDescent="0.35">
      <c r="B83" s="108"/>
      <c r="E83" s="4">
        <f>'T6'!C20+'T6'!O20</f>
        <v>335796199</v>
      </c>
      <c r="F83" s="2" t="s">
        <v>262</v>
      </c>
      <c r="G83" s="2" t="s">
        <v>839</v>
      </c>
    </row>
    <row r="84" spans="2:12" x14ac:dyDescent="0.35">
      <c r="B84" s="108"/>
      <c r="E84" s="4">
        <f>E75+E76</f>
        <v>1672350</v>
      </c>
      <c r="F84" s="2" t="s">
        <v>263</v>
      </c>
      <c r="G84" s="2" t="s">
        <v>49</v>
      </c>
    </row>
    <row r="86" spans="2:12" x14ac:dyDescent="0.35">
      <c r="E86" s="4">
        <f>'T7'!AB15</f>
        <v>1228998</v>
      </c>
      <c r="F86" s="2" t="s">
        <v>266</v>
      </c>
      <c r="G86" s="2" t="s">
        <v>841</v>
      </c>
    </row>
    <row r="87" spans="2:12" x14ac:dyDescent="0.35">
      <c r="F87" s="2" t="s">
        <v>269</v>
      </c>
    </row>
    <row r="88" spans="2:12" x14ac:dyDescent="0.35">
      <c r="E88" s="4">
        <f>'T7'!AB13</f>
        <v>9990</v>
      </c>
      <c r="F88" s="6" t="s">
        <v>138</v>
      </c>
      <c r="G88" s="2" t="s">
        <v>841</v>
      </c>
      <c r="H88" s="14"/>
      <c r="I88" s="14"/>
      <c r="J88" s="14"/>
      <c r="K88" s="14"/>
      <c r="L88" s="14"/>
    </row>
    <row r="89" spans="2:12" x14ac:dyDescent="0.35">
      <c r="E89" s="4">
        <f>'T7'!AB11</f>
        <v>173949</v>
      </c>
      <c r="F89" s="6" t="s">
        <v>198</v>
      </c>
      <c r="G89" s="2" t="s">
        <v>841</v>
      </c>
      <c r="H89" s="14"/>
      <c r="I89" s="14"/>
      <c r="J89" s="14"/>
      <c r="K89" s="14"/>
      <c r="L89" s="14"/>
    </row>
    <row r="90" spans="2:12" x14ac:dyDescent="0.35">
      <c r="E90" s="4">
        <f>E86-E88-E89</f>
        <v>1045059</v>
      </c>
      <c r="F90" s="6" t="s">
        <v>250</v>
      </c>
      <c r="G90" s="2" t="s">
        <v>49</v>
      </c>
    </row>
    <row r="91" spans="2:12" x14ac:dyDescent="0.35">
      <c r="E91" s="4">
        <f>E90*(E84/E83)</f>
        <v>5204.6581344716169</v>
      </c>
      <c r="F91" s="8" t="s">
        <v>267</v>
      </c>
      <c r="G91" s="2" t="s">
        <v>49</v>
      </c>
    </row>
    <row r="92" spans="2:12" x14ac:dyDescent="0.35">
      <c r="E92" s="4">
        <f>E90-E91</f>
        <v>1039854.3418655284</v>
      </c>
      <c r="F92" s="8" t="s">
        <v>268</v>
      </c>
      <c r="G92" s="2" t="s">
        <v>49</v>
      </c>
    </row>
    <row r="94" spans="2:12" x14ac:dyDescent="0.35">
      <c r="E94" s="67" t="s">
        <v>270</v>
      </c>
    </row>
    <row r="95" spans="2:12" x14ac:dyDescent="0.35">
      <c r="E95" s="4">
        <f>E75</f>
        <v>1440196</v>
      </c>
      <c r="F95" s="2" t="s">
        <v>255</v>
      </c>
      <c r="G95" s="2" t="s">
        <v>840</v>
      </c>
    </row>
    <row r="96" spans="2:12" x14ac:dyDescent="0.35">
      <c r="E96" s="4">
        <f>E76</f>
        <v>232154</v>
      </c>
      <c r="F96" s="2" t="s">
        <v>256</v>
      </c>
      <c r="G96" s="2" t="s">
        <v>840</v>
      </c>
    </row>
    <row r="98" spans="5:7" x14ac:dyDescent="0.35">
      <c r="E98" s="4">
        <f>E91</f>
        <v>5204.6581344716169</v>
      </c>
      <c r="F98" s="2" t="s">
        <v>492</v>
      </c>
      <c r="G98" s="2" t="s">
        <v>840</v>
      </c>
    </row>
    <row r="99" spans="5:7" x14ac:dyDescent="0.35">
      <c r="E99" s="4">
        <f>E98*(E95/(E95+E96))</f>
        <v>4482.152555764932</v>
      </c>
      <c r="F99" s="2" t="s">
        <v>258</v>
      </c>
      <c r="G99" s="2" t="s">
        <v>49</v>
      </c>
    </row>
    <row r="100" spans="5:7" x14ac:dyDescent="0.35">
      <c r="E100" s="4">
        <f>E98*(E96/(E95+E96))</f>
        <v>722.50557870668445</v>
      </c>
      <c r="F100" s="2" t="s">
        <v>259</v>
      </c>
      <c r="G100" s="2" t="s">
        <v>49</v>
      </c>
    </row>
    <row r="102" spans="5:7" x14ac:dyDescent="0.35">
      <c r="E102" s="67" t="s">
        <v>279</v>
      </c>
    </row>
    <row r="103" spans="5:7" x14ac:dyDescent="0.35">
      <c r="E103" s="4">
        <f>E104+E105+E106</f>
        <v>15.905573619999998</v>
      </c>
      <c r="F103" s="2" t="s">
        <v>138</v>
      </c>
      <c r="G103" s="2" t="s">
        <v>49</v>
      </c>
    </row>
    <row r="104" spans="5:7" x14ac:dyDescent="0.35">
      <c r="E104" s="4">
        <v>15.747784219999998</v>
      </c>
      <c r="F104" s="6" t="s">
        <v>281</v>
      </c>
      <c r="G104" s="2" t="s">
        <v>280</v>
      </c>
    </row>
    <row r="105" spans="5:7" x14ac:dyDescent="0.35">
      <c r="E105" s="4">
        <v>7.2024000000000005E-2</v>
      </c>
      <c r="F105" s="6" t="s">
        <v>282</v>
      </c>
      <c r="G105" s="2" t="s">
        <v>280</v>
      </c>
    </row>
    <row r="106" spans="5:7" x14ac:dyDescent="0.35">
      <c r="E106" s="4">
        <v>8.5765399999999992E-2</v>
      </c>
      <c r="F106" s="6" t="s">
        <v>283</v>
      </c>
      <c r="G106" s="2" t="s">
        <v>280</v>
      </c>
    </row>
    <row r="107" spans="5:7" x14ac:dyDescent="0.35">
      <c r="E107" s="4">
        <v>0.88782009000000006</v>
      </c>
      <c r="F107" s="22" t="s">
        <v>198</v>
      </c>
      <c r="G107" s="2" t="s">
        <v>280</v>
      </c>
    </row>
    <row r="108" spans="5:7" x14ac:dyDescent="0.35">
      <c r="F108" s="22" t="s">
        <v>284</v>
      </c>
    </row>
    <row r="110" spans="5:7" x14ac:dyDescent="0.35">
      <c r="E110" s="67" t="s">
        <v>285</v>
      </c>
    </row>
    <row r="111" spans="5:7" x14ac:dyDescent="0.35">
      <c r="E111" s="4" t="s">
        <v>286</v>
      </c>
    </row>
    <row r="112" spans="5:7" x14ac:dyDescent="0.35">
      <c r="E112" s="4">
        <f>'T8'!AB15</f>
        <v>3477.8240000000001</v>
      </c>
      <c r="F112" s="2" t="s">
        <v>287</v>
      </c>
      <c r="G112" s="2" t="s">
        <v>842</v>
      </c>
    </row>
    <row r="113" spans="2:7" x14ac:dyDescent="0.35">
      <c r="E113" s="4">
        <f>'T8'!AB17*0.5</f>
        <v>1556.0309999999999</v>
      </c>
      <c r="F113" s="2" t="s">
        <v>289</v>
      </c>
      <c r="G113" s="2" t="s">
        <v>842</v>
      </c>
    </row>
    <row r="115" spans="2:7" x14ac:dyDescent="0.35">
      <c r="E115" s="4" t="s">
        <v>290</v>
      </c>
    </row>
    <row r="116" spans="2:7" x14ac:dyDescent="0.35">
      <c r="E116" s="4">
        <f>E117+E118</f>
        <v>1638.384</v>
      </c>
      <c r="F116" s="2" t="s">
        <v>291</v>
      </c>
      <c r="G116" s="2" t="s">
        <v>49</v>
      </c>
    </row>
    <row r="117" spans="2:7" x14ac:dyDescent="0.35">
      <c r="E117" s="4">
        <f>'T8'!AB17*0.5</f>
        <v>1556.0309999999999</v>
      </c>
      <c r="F117" s="6" t="s">
        <v>292</v>
      </c>
      <c r="G117" s="2" t="s">
        <v>842</v>
      </c>
    </row>
    <row r="118" spans="2:7" x14ac:dyDescent="0.35">
      <c r="E118" s="4">
        <f>'T8'!AB18</f>
        <v>82.352999999999994</v>
      </c>
      <c r="F118" s="6" t="s">
        <v>293</v>
      </c>
      <c r="G118" s="2" t="s">
        <v>842</v>
      </c>
    </row>
    <row r="119" spans="2:7" ht="14.5" customHeight="1" x14ac:dyDescent="0.35"/>
    <row r="120" spans="2:7" x14ac:dyDescent="0.35">
      <c r="B120" s="108" t="s">
        <v>417</v>
      </c>
      <c r="E120" s="67" t="s">
        <v>418</v>
      </c>
    </row>
    <row r="121" spans="2:7" x14ac:dyDescent="0.35">
      <c r="B121" s="108"/>
      <c r="E121" s="4">
        <f>'T2'!AB8</f>
        <v>9376.7000000000007</v>
      </c>
      <c r="F121" s="2" t="s">
        <v>344</v>
      </c>
      <c r="G121" s="2" t="s">
        <v>834</v>
      </c>
    </row>
    <row r="122" spans="2:7" x14ac:dyDescent="0.35">
      <c r="E122" s="4">
        <f>'T9'!AB6</f>
        <v>78713.600000000006</v>
      </c>
      <c r="F122" s="2" t="s">
        <v>546</v>
      </c>
      <c r="G122" s="2" t="s">
        <v>843</v>
      </c>
    </row>
    <row r="123" spans="2:7" x14ac:dyDescent="0.35">
      <c r="E123" s="4">
        <v>19800</v>
      </c>
      <c r="F123" s="2" t="s">
        <v>370</v>
      </c>
      <c r="G123" s="2" t="s">
        <v>371</v>
      </c>
    </row>
    <row r="124" spans="2:7" x14ac:dyDescent="0.35">
      <c r="F124" s="2" t="s">
        <v>542</v>
      </c>
    </row>
    <row r="125" spans="2:7" x14ac:dyDescent="0.35">
      <c r="E125" s="4">
        <f>10086.9+6163.4</f>
        <v>16250.3</v>
      </c>
      <c r="F125" s="6" t="s">
        <v>543</v>
      </c>
      <c r="G125" s="2" t="s">
        <v>371</v>
      </c>
    </row>
    <row r="126" spans="2:7" x14ac:dyDescent="0.35">
      <c r="E126" s="4">
        <f>E123-E125</f>
        <v>3549.7000000000007</v>
      </c>
      <c r="F126" s="6" t="s">
        <v>250</v>
      </c>
      <c r="G126" s="2" t="s">
        <v>49</v>
      </c>
    </row>
    <row r="127" spans="2:7" x14ac:dyDescent="0.35">
      <c r="F127" s="2" t="s">
        <v>544</v>
      </c>
    </row>
    <row r="128" spans="2:7" x14ac:dyDescent="0.35">
      <c r="E128" s="4">
        <v>9138.2999999999993</v>
      </c>
      <c r="F128" s="6" t="s">
        <v>407</v>
      </c>
      <c r="G128" s="2" t="s">
        <v>371</v>
      </c>
    </row>
    <row r="129" spans="5:10" x14ac:dyDescent="0.35">
      <c r="E129" s="4">
        <f>E123-E128</f>
        <v>10661.7</v>
      </c>
      <c r="F129" s="6" t="s">
        <v>228</v>
      </c>
      <c r="G129" s="2" t="s">
        <v>49</v>
      </c>
    </row>
    <row r="130" spans="5:10" x14ac:dyDescent="0.35">
      <c r="E130" s="4">
        <f>E122-E125</f>
        <v>62463.3</v>
      </c>
      <c r="F130" s="2" t="s">
        <v>545</v>
      </c>
      <c r="G130" s="2" t="s">
        <v>49</v>
      </c>
    </row>
    <row r="132" spans="5:10" x14ac:dyDescent="0.35">
      <c r="F132" s="2" t="s">
        <v>286</v>
      </c>
    </row>
    <row r="133" spans="5:10" x14ac:dyDescent="0.35">
      <c r="E133" s="4">
        <f>E134+E135</f>
        <v>201.619</v>
      </c>
      <c r="F133" s="2" t="s">
        <v>396</v>
      </c>
      <c r="G133" s="2" t="s">
        <v>49</v>
      </c>
    </row>
    <row r="134" spans="5:10" x14ac:dyDescent="0.35">
      <c r="E134" s="4">
        <f>'T10'!P16</f>
        <v>201.619</v>
      </c>
      <c r="F134" s="2" t="s">
        <v>397</v>
      </c>
      <c r="G134" s="2" t="s">
        <v>844</v>
      </c>
    </row>
    <row r="135" spans="5:10" x14ac:dyDescent="0.35">
      <c r="E135" s="4">
        <v>0</v>
      </c>
      <c r="F135" s="2" t="s">
        <v>398</v>
      </c>
      <c r="G135" s="2" t="s">
        <v>844</v>
      </c>
    </row>
    <row r="137" spans="5:10" x14ac:dyDescent="0.35">
      <c r="F137" s="2" t="s">
        <v>290</v>
      </c>
    </row>
    <row r="138" spans="5:10" x14ac:dyDescent="0.35">
      <c r="E138" s="4">
        <f>E139+E140</f>
        <v>9485.5856260441014</v>
      </c>
      <c r="F138" s="2" t="s">
        <v>396</v>
      </c>
      <c r="G138" s="2" t="s">
        <v>49</v>
      </c>
    </row>
    <row r="139" spans="5:10" x14ac:dyDescent="0.35">
      <c r="E139" s="4">
        <f>'T5'!P16</f>
        <v>6358.7643819123305</v>
      </c>
      <c r="F139" s="2" t="s">
        <v>397</v>
      </c>
      <c r="G139" s="2" t="s">
        <v>838</v>
      </c>
    </row>
    <row r="140" spans="5:10" x14ac:dyDescent="0.35">
      <c r="E140" s="4">
        <f>'T5'!P15+'T5'!P26+'T5'!P27+'T5'!P46</f>
        <v>3126.8212441317714</v>
      </c>
      <c r="F140" s="2" t="s">
        <v>398</v>
      </c>
      <c r="G140" s="2" t="s">
        <v>838</v>
      </c>
    </row>
    <row r="141" spans="5:10" x14ac:dyDescent="0.35">
      <c r="J141" s="4"/>
    </row>
    <row r="142" spans="5:10" x14ac:dyDescent="0.35">
      <c r="E142" s="67" t="s">
        <v>416</v>
      </c>
      <c r="J142" s="4"/>
    </row>
    <row r="143" spans="5:10" x14ac:dyDescent="0.35">
      <c r="E143" s="4">
        <f>E121*(E134+E139)/(E133+E138)</f>
        <v>6350.1029690024943</v>
      </c>
      <c r="F143" s="2" t="s">
        <v>399</v>
      </c>
      <c r="G143" s="2" t="s">
        <v>49</v>
      </c>
      <c r="J143" s="4"/>
    </row>
    <row r="144" spans="5:10" x14ac:dyDescent="0.35">
      <c r="E144" s="4">
        <f>E143*(E134/(E134+E139))</f>
        <v>195.15649253628072</v>
      </c>
      <c r="F144" s="6" t="s">
        <v>400</v>
      </c>
      <c r="G144" s="2" t="s">
        <v>49</v>
      </c>
    </row>
    <row r="145" spans="2:7" x14ac:dyDescent="0.35">
      <c r="E145" s="4">
        <f>E144*(E130/(E130+E123))</f>
        <v>148.18416645383135</v>
      </c>
      <c r="F145" s="20" t="s">
        <v>401</v>
      </c>
      <c r="G145" s="2" t="s">
        <v>49</v>
      </c>
    </row>
    <row r="146" spans="2:7" x14ac:dyDescent="0.35">
      <c r="E146" s="4">
        <f>E144*E123/(E130+E123)</f>
        <v>46.972326082449385</v>
      </c>
      <c r="F146" s="20" t="s">
        <v>402</v>
      </c>
      <c r="G146" s="2" t="s">
        <v>49</v>
      </c>
    </row>
    <row r="147" spans="2:7" x14ac:dyDescent="0.35">
      <c r="E147" s="4">
        <f>E143*E139/(E134+E139)</f>
        <v>6154.9464764662143</v>
      </c>
      <c r="F147" s="6" t="s">
        <v>403</v>
      </c>
      <c r="G147" s="2" t="s">
        <v>49</v>
      </c>
    </row>
    <row r="148" spans="2:7" x14ac:dyDescent="0.35">
      <c r="F148" s="6" t="s">
        <v>404</v>
      </c>
    </row>
    <row r="149" spans="2:7" x14ac:dyDescent="0.35">
      <c r="E149" s="4">
        <v>661.33</v>
      </c>
      <c r="F149" s="8" t="s">
        <v>405</v>
      </c>
      <c r="G149" s="2" t="s">
        <v>406</v>
      </c>
    </row>
    <row r="150" spans="2:7" x14ac:dyDescent="0.35">
      <c r="E150" s="4">
        <f>E147-E149</f>
        <v>5493.6164764662144</v>
      </c>
      <c r="F150" s="8" t="s">
        <v>228</v>
      </c>
      <c r="G150" s="2" t="s">
        <v>49</v>
      </c>
    </row>
    <row r="151" spans="2:7" x14ac:dyDescent="0.35">
      <c r="E151" s="4">
        <f>E150*E130/(E130+E129)</f>
        <v>4692.6415597190035</v>
      </c>
      <c r="F151" s="20" t="s">
        <v>401</v>
      </c>
      <c r="G151" s="2" t="s">
        <v>49</v>
      </c>
    </row>
    <row r="152" spans="2:7" x14ac:dyDescent="0.35">
      <c r="E152" s="4">
        <f>E150*E129/(E130+E129)</f>
        <v>800.97491674721152</v>
      </c>
      <c r="F152" s="20" t="s">
        <v>402</v>
      </c>
      <c r="G152" s="2" t="s">
        <v>49</v>
      </c>
    </row>
    <row r="153" spans="2:7" x14ac:dyDescent="0.35">
      <c r="E153" s="4">
        <f>E121-E143</f>
        <v>3026.5970309975064</v>
      </c>
      <c r="F153" s="2" t="s">
        <v>408</v>
      </c>
      <c r="G153" s="2" t="s">
        <v>49</v>
      </c>
    </row>
    <row r="154" spans="2:7" x14ac:dyDescent="0.35">
      <c r="E154" s="4">
        <f>E153*E135/(E135+E140)</f>
        <v>0</v>
      </c>
      <c r="F154" s="6" t="s">
        <v>400</v>
      </c>
      <c r="G154" s="2" t="s">
        <v>49</v>
      </c>
    </row>
    <row r="155" spans="2:7" x14ac:dyDescent="0.35">
      <c r="E155" s="4">
        <f>E153-E154</f>
        <v>3026.5970309975064</v>
      </c>
      <c r="F155" s="6" t="s">
        <v>409</v>
      </c>
      <c r="G155" s="2" t="s">
        <v>49</v>
      </c>
    </row>
    <row r="156" spans="2:7" x14ac:dyDescent="0.35">
      <c r="F156" s="6"/>
    </row>
    <row r="157" spans="2:7" x14ac:dyDescent="0.35">
      <c r="B157" s="108" t="s">
        <v>469</v>
      </c>
      <c r="E157" s="67" t="s">
        <v>847</v>
      </c>
      <c r="F157" s="6"/>
    </row>
    <row r="158" spans="2:7" x14ac:dyDescent="0.35">
      <c r="B158" s="108"/>
      <c r="D158" s="4"/>
      <c r="E158" s="4">
        <f>E130</f>
        <v>62463.3</v>
      </c>
      <c r="F158" s="2" t="s">
        <v>410</v>
      </c>
      <c r="G158" s="2" t="s">
        <v>840</v>
      </c>
    </row>
    <row r="159" spans="2:7" x14ac:dyDescent="0.35">
      <c r="E159" s="4">
        <f>E144</f>
        <v>195.15649253628072</v>
      </c>
      <c r="F159" s="2" t="s">
        <v>411</v>
      </c>
      <c r="G159" s="2" t="s">
        <v>840</v>
      </c>
    </row>
    <row r="160" spans="2:7" x14ac:dyDescent="0.35">
      <c r="E160" s="4">
        <f>E147</f>
        <v>6154.9464764662143</v>
      </c>
      <c r="F160" s="2" t="s">
        <v>412</v>
      </c>
      <c r="G160" s="2" t="s">
        <v>840</v>
      </c>
    </row>
    <row r="161" spans="4:7" x14ac:dyDescent="0.35">
      <c r="E161" s="4">
        <f>E112+E113</f>
        <v>5033.8549999999996</v>
      </c>
      <c r="F161" s="2" t="s">
        <v>413</v>
      </c>
      <c r="G161" s="2" t="s">
        <v>49</v>
      </c>
    </row>
    <row r="162" spans="4:7" x14ac:dyDescent="0.35">
      <c r="E162" s="4">
        <f>E117+E118</f>
        <v>1638.384</v>
      </c>
      <c r="F162" s="2" t="s">
        <v>414</v>
      </c>
      <c r="G162" s="2" t="s">
        <v>49</v>
      </c>
    </row>
    <row r="163" spans="4:7" x14ac:dyDescent="0.35">
      <c r="E163" s="4">
        <f>E158-E159-E160-E161-E162</f>
        <v>49440.958030997506</v>
      </c>
      <c r="F163" s="2" t="s">
        <v>415</v>
      </c>
      <c r="G163" s="2" t="s">
        <v>49</v>
      </c>
    </row>
    <row r="165" spans="4:7" x14ac:dyDescent="0.35">
      <c r="D165" s="1"/>
      <c r="E165" s="67" t="s">
        <v>846</v>
      </c>
    </row>
    <row r="166" spans="4:7" x14ac:dyDescent="0.35">
      <c r="E166" s="4">
        <f>SUM('T11'!E7:E18)</f>
        <v>85</v>
      </c>
      <c r="F166" s="2" t="s">
        <v>439</v>
      </c>
      <c r="G166" s="2" t="s">
        <v>845</v>
      </c>
    </row>
    <row r="167" spans="4:7" x14ac:dyDescent="0.35">
      <c r="E167" s="4">
        <f>'T11'!E16</f>
        <v>2.1</v>
      </c>
      <c r="F167" s="2" t="s">
        <v>440</v>
      </c>
      <c r="G167" s="2" t="s">
        <v>845</v>
      </c>
    </row>
    <row r="168" spans="4:7" x14ac:dyDescent="0.35">
      <c r="E168" s="4">
        <f>'T11'!E12</f>
        <v>6.8</v>
      </c>
      <c r="F168" s="2" t="s">
        <v>441</v>
      </c>
      <c r="G168" s="2" t="s">
        <v>845</v>
      </c>
    </row>
    <row r="169" spans="4:7" x14ac:dyDescent="0.35">
      <c r="E169" s="4">
        <f>'T11'!E9</f>
        <v>37.1</v>
      </c>
      <c r="F169" s="2" t="s">
        <v>442</v>
      </c>
      <c r="G169" s="2" t="s">
        <v>845</v>
      </c>
    </row>
    <row r="170" spans="4:7" x14ac:dyDescent="0.35">
      <c r="E170" s="4">
        <f>'T11'!E8</f>
        <v>0.7</v>
      </c>
      <c r="F170" s="2" t="s">
        <v>443</v>
      </c>
      <c r="G170" s="2" t="s">
        <v>845</v>
      </c>
    </row>
    <row r="171" spans="4:7" x14ac:dyDescent="0.35">
      <c r="E171" s="4">
        <f>'T11'!E17</f>
        <v>0.3</v>
      </c>
      <c r="F171" s="2" t="s">
        <v>444</v>
      </c>
      <c r="G171" s="2" t="s">
        <v>845</v>
      </c>
    </row>
    <row r="173" spans="4:7" x14ac:dyDescent="0.35">
      <c r="E173" s="4">
        <f>'T9'!AB20</f>
        <v>15923.6</v>
      </c>
      <c r="F173" s="2" t="s">
        <v>360</v>
      </c>
      <c r="G173" s="2" t="s">
        <v>881</v>
      </c>
    </row>
    <row r="175" spans="4:7" x14ac:dyDescent="0.35">
      <c r="E175" s="4">
        <f>'T12'!AH21</f>
        <v>4610.9566206491336</v>
      </c>
      <c r="F175" s="2" t="s">
        <v>445</v>
      </c>
      <c r="G175" s="2" t="s">
        <v>849</v>
      </c>
    </row>
    <row r="176" spans="4:7" x14ac:dyDescent="0.35">
      <c r="E176" s="4">
        <f>'T12'!AH19</f>
        <v>3177.7962848378729</v>
      </c>
      <c r="F176" s="2" t="s">
        <v>446</v>
      </c>
      <c r="G176" s="2" t="s">
        <v>849</v>
      </c>
    </row>
    <row r="177" spans="4:7" x14ac:dyDescent="0.35">
      <c r="E177" s="4">
        <f>'T12'!AH20</f>
        <v>2385.3689104325499</v>
      </c>
      <c r="F177" s="2" t="s">
        <v>447</v>
      </c>
      <c r="G177" s="2" t="s">
        <v>849</v>
      </c>
    </row>
    <row r="178" spans="4:7" x14ac:dyDescent="0.35">
      <c r="E178" s="4">
        <f>'T12'!AH22</f>
        <v>5563.1488914661531</v>
      </c>
      <c r="F178" s="2" t="s">
        <v>448</v>
      </c>
      <c r="G178" s="2" t="s">
        <v>849</v>
      </c>
    </row>
    <row r="180" spans="4:7" x14ac:dyDescent="0.35">
      <c r="E180" s="4">
        <f>'T13'!G19</f>
        <v>6178.3590000000004</v>
      </c>
      <c r="F180" s="2" t="s">
        <v>40</v>
      </c>
      <c r="G180" s="2" t="s">
        <v>851</v>
      </c>
    </row>
    <row r="181" spans="4:7" x14ac:dyDescent="0.35">
      <c r="E181" s="4">
        <f>'T13'!G21</f>
        <v>28077.468999999994</v>
      </c>
      <c r="F181" s="4" t="s">
        <v>42</v>
      </c>
      <c r="G181" s="2" t="s">
        <v>851</v>
      </c>
    </row>
    <row r="182" spans="4:7" x14ac:dyDescent="0.35">
      <c r="E182" s="4">
        <f>'T13'!G25</f>
        <v>8268.0163312883014</v>
      </c>
      <c r="F182" s="2" t="s">
        <v>850</v>
      </c>
      <c r="G182" s="2" t="s">
        <v>851</v>
      </c>
    </row>
    <row r="184" spans="4:7" x14ac:dyDescent="0.35">
      <c r="E184" s="4">
        <f>E163*(E167/E166)</f>
        <v>1221.4824925305268</v>
      </c>
      <c r="F184" s="2" t="s">
        <v>138</v>
      </c>
      <c r="G184" s="2" t="s">
        <v>49</v>
      </c>
    </row>
    <row r="185" spans="4:7" x14ac:dyDescent="0.35">
      <c r="E185" s="4">
        <f>E186+E187</f>
        <v>11569.735105558048</v>
      </c>
      <c r="F185" s="2" t="s">
        <v>198</v>
      </c>
      <c r="G185" s="2" t="s">
        <v>49</v>
      </c>
    </row>
    <row r="186" spans="4:7" x14ac:dyDescent="0.35">
      <c r="E186" s="4">
        <f>E178/(E176+E177)*(E112+E113+E117)*(1-0.04)</f>
        <v>6326.2720197267154</v>
      </c>
      <c r="F186" s="6" t="s">
        <v>470</v>
      </c>
      <c r="G186" s="2" t="s">
        <v>49</v>
      </c>
    </row>
    <row r="187" spans="4:7" x14ac:dyDescent="0.35">
      <c r="E187" s="4">
        <f>E175/(E176+E177)*(E112+E113+E117)*(1-0.04)</f>
        <v>5243.4630858313312</v>
      </c>
      <c r="F187" s="6" t="s">
        <v>471</v>
      </c>
      <c r="G187" s="2" t="s">
        <v>49</v>
      </c>
    </row>
    <row r="188" spans="4:7" x14ac:dyDescent="0.35">
      <c r="E188" s="4">
        <f>E189+E190</f>
        <v>15641.662113322032</v>
      </c>
      <c r="F188" s="22" t="s">
        <v>427</v>
      </c>
      <c r="G188" s="2" t="s">
        <v>49</v>
      </c>
    </row>
    <row r="189" spans="4:7" x14ac:dyDescent="0.35">
      <c r="E189" s="4">
        <f>E182/(E180+E181)*(E10)</f>
        <v>8875.1528330508208</v>
      </c>
      <c r="F189" s="6" t="s">
        <v>472</v>
      </c>
      <c r="G189" s="2" t="s">
        <v>49</v>
      </c>
    </row>
    <row r="190" spans="4:7" x14ac:dyDescent="0.35">
      <c r="E190" s="4">
        <f>(E173-E189)*(1-0.04)</f>
        <v>6766.5092802712124</v>
      </c>
      <c r="F190" s="6" t="s">
        <v>848</v>
      </c>
      <c r="G190" s="2" t="s">
        <v>49</v>
      </c>
    </row>
    <row r="191" spans="4:7" x14ac:dyDescent="0.35">
      <c r="D191" s="4"/>
      <c r="E191" s="4">
        <f>E163*(E170/E166)</f>
        <v>407.16083084350879</v>
      </c>
      <c r="F191" s="2" t="s">
        <v>426</v>
      </c>
      <c r="G191" s="2" t="s">
        <v>49</v>
      </c>
    </row>
    <row r="192" spans="4:7" x14ac:dyDescent="0.35">
      <c r="E192" s="4">
        <f>E163*(E171/E166)</f>
        <v>174.49749893293236</v>
      </c>
      <c r="F192" s="2" t="s">
        <v>473</v>
      </c>
      <c r="G192" s="2" t="s">
        <v>49</v>
      </c>
    </row>
    <row r="193" spans="2:9" x14ac:dyDescent="0.35">
      <c r="E193" s="4">
        <f>E163-(E184+E185+E188+E191+E192)</f>
        <v>20426.41998981046</v>
      </c>
      <c r="F193" s="2" t="s">
        <v>474</v>
      </c>
    </row>
    <row r="195" spans="2:9" x14ac:dyDescent="0.35">
      <c r="B195" s="108" t="s">
        <v>486</v>
      </c>
      <c r="D195" s="44"/>
      <c r="E195" s="67" t="s">
        <v>852</v>
      </c>
    </row>
    <row r="196" spans="2:9" x14ac:dyDescent="0.35">
      <c r="B196" s="108"/>
      <c r="E196" s="4">
        <f>E197+E198+E202</f>
        <v>9532.8009494749313</v>
      </c>
      <c r="F196" s="2" t="s">
        <v>400</v>
      </c>
    </row>
    <row r="197" spans="2:9" x14ac:dyDescent="0.35">
      <c r="E197" s="4">
        <f>E103</f>
        <v>15.905573619999998</v>
      </c>
      <c r="F197" s="6" t="s">
        <v>138</v>
      </c>
    </row>
    <row r="198" spans="2:9" x14ac:dyDescent="0.35">
      <c r="E198" s="4">
        <f>SUM(E199:E201)</f>
        <v>5034.7428200899994</v>
      </c>
      <c r="F198" s="6" t="s">
        <v>487</v>
      </c>
    </row>
    <row r="199" spans="2:9" x14ac:dyDescent="0.35">
      <c r="E199" s="4">
        <f>E112</f>
        <v>3477.8240000000001</v>
      </c>
      <c r="F199" s="8" t="s">
        <v>287</v>
      </c>
    </row>
    <row r="200" spans="2:9" x14ac:dyDescent="0.35">
      <c r="E200" s="4">
        <f>E113</f>
        <v>1556.0309999999999</v>
      </c>
      <c r="F200" s="8" t="s">
        <v>488</v>
      </c>
    </row>
    <row r="201" spans="2:9" x14ac:dyDescent="0.35">
      <c r="E201" s="4">
        <f>E107</f>
        <v>0.88782009000000006</v>
      </c>
      <c r="F201" s="8" t="s">
        <v>489</v>
      </c>
    </row>
    <row r="202" spans="2:9" x14ac:dyDescent="0.35">
      <c r="E202" s="4">
        <f>E99</f>
        <v>4482.152555764932</v>
      </c>
      <c r="F202" s="6" t="s">
        <v>228</v>
      </c>
    </row>
    <row r="204" spans="2:9" x14ac:dyDescent="0.35">
      <c r="E204" s="4">
        <f>E205+E206+E209</f>
        <v>8656.1795724262047</v>
      </c>
      <c r="F204" s="2" t="s">
        <v>490</v>
      </c>
    </row>
    <row r="205" spans="2:9" x14ac:dyDescent="0.35">
      <c r="E205" s="4">
        <f>E50</f>
        <v>3618.5045542156613</v>
      </c>
      <c r="F205" s="6" t="s">
        <v>138</v>
      </c>
    </row>
    <row r="206" spans="2:9" x14ac:dyDescent="0.35">
      <c r="E206" s="4">
        <f>E207+E208</f>
        <v>2504.6021518192811</v>
      </c>
      <c r="F206" s="6" t="s">
        <v>487</v>
      </c>
    </row>
    <row r="207" spans="2:9" x14ac:dyDescent="0.35">
      <c r="E207" s="4">
        <f>E116</f>
        <v>1638.384</v>
      </c>
      <c r="F207" s="8" t="s">
        <v>491</v>
      </c>
    </row>
    <row r="208" spans="2:9" x14ac:dyDescent="0.35">
      <c r="E208" s="4">
        <f>E63</f>
        <v>866.21815181928116</v>
      </c>
      <c r="F208" s="8" t="s">
        <v>489</v>
      </c>
      <c r="I208" s="4"/>
    </row>
    <row r="209" spans="2:6" x14ac:dyDescent="0.35">
      <c r="E209" s="4">
        <f>E79</f>
        <v>2533.0728663912632</v>
      </c>
      <c r="F209" s="6" t="s">
        <v>228</v>
      </c>
    </row>
    <row r="210" spans="2:6" x14ac:dyDescent="0.35">
      <c r="F210" s="6"/>
    </row>
    <row r="211" spans="2:6" x14ac:dyDescent="0.35">
      <c r="B211" s="108" t="s">
        <v>493</v>
      </c>
      <c r="D211" s="1"/>
      <c r="E211" s="67" t="s">
        <v>853</v>
      </c>
    </row>
    <row r="212" spans="2:6" x14ac:dyDescent="0.35">
      <c r="B212" s="108"/>
      <c r="E212" s="4">
        <f>SUM(E213:E216)</f>
        <v>77133.526907777035</v>
      </c>
      <c r="F212" s="2" t="s">
        <v>494</v>
      </c>
    </row>
    <row r="213" spans="2:6" x14ac:dyDescent="0.35">
      <c r="B213" s="108"/>
      <c r="E213" s="4">
        <f>E5</f>
        <v>55031.399999999994</v>
      </c>
      <c r="F213" s="6" t="s">
        <v>5</v>
      </c>
    </row>
    <row r="214" spans="2:6" x14ac:dyDescent="0.35">
      <c r="E214" s="4">
        <f>E20</f>
        <v>4347.333333333333</v>
      </c>
      <c r="F214" s="6" t="s">
        <v>495</v>
      </c>
    </row>
    <row r="215" spans="2:6" x14ac:dyDescent="0.35">
      <c r="E215" s="4">
        <f>E28</f>
        <v>1190.2616161393721</v>
      </c>
      <c r="F215" s="6" t="s">
        <v>496</v>
      </c>
    </row>
    <row r="216" spans="2:6" x14ac:dyDescent="0.35">
      <c r="E216" s="4">
        <f>E29</f>
        <v>16564.531958304331</v>
      </c>
      <c r="F216" s="6" t="s">
        <v>497</v>
      </c>
    </row>
    <row r="218" spans="2:6" x14ac:dyDescent="0.35">
      <c r="E218" s="4">
        <f>E153</f>
        <v>3026.5970309975064</v>
      </c>
      <c r="F218" s="22" t="s">
        <v>498</v>
      </c>
    </row>
    <row r="219" spans="2:6" x14ac:dyDescent="0.35">
      <c r="E219" s="4">
        <v>0</v>
      </c>
      <c r="F219" s="6" t="s">
        <v>5</v>
      </c>
    </row>
    <row r="220" spans="2:6" x14ac:dyDescent="0.35">
      <c r="E220" s="4">
        <v>0</v>
      </c>
      <c r="F220" s="6" t="s">
        <v>495</v>
      </c>
    </row>
    <row r="221" spans="2:6" x14ac:dyDescent="0.35">
      <c r="E221" s="4">
        <f>E218*(E28/(E28+E29))</f>
        <v>202.89969908200354</v>
      </c>
      <c r="F221" s="6" t="s">
        <v>496</v>
      </c>
    </row>
    <row r="222" spans="2:6" x14ac:dyDescent="0.35">
      <c r="E222" s="4">
        <f>E218*(E29/(E28+E29))</f>
        <v>2823.6973319155031</v>
      </c>
      <c r="F222" s="6" t="s">
        <v>497</v>
      </c>
    </row>
    <row r="224" spans="2:6" x14ac:dyDescent="0.35">
      <c r="E224" s="4">
        <f>E212+E218</f>
        <v>80160.123938774545</v>
      </c>
      <c r="F224" s="2" t="s">
        <v>499</v>
      </c>
    </row>
    <row r="225" spans="2:6" x14ac:dyDescent="0.35">
      <c r="E225" s="4">
        <f t="shared" ref="E225:E228" si="0">E213+E219</f>
        <v>55031.399999999994</v>
      </c>
      <c r="F225" s="6" t="s">
        <v>500</v>
      </c>
    </row>
    <row r="226" spans="2:6" x14ac:dyDescent="0.35">
      <c r="E226" s="4">
        <f t="shared" si="0"/>
        <v>4347.333333333333</v>
      </c>
      <c r="F226" s="6" t="s">
        <v>501</v>
      </c>
    </row>
    <row r="227" spans="2:6" x14ac:dyDescent="0.35">
      <c r="E227" s="4">
        <f t="shared" si="0"/>
        <v>1393.1613152213756</v>
      </c>
      <c r="F227" s="6" t="s">
        <v>502</v>
      </c>
    </row>
    <row r="228" spans="2:6" x14ac:dyDescent="0.35">
      <c r="E228" s="4">
        <f t="shared" si="0"/>
        <v>19388.229290219835</v>
      </c>
      <c r="F228" s="6" t="s">
        <v>503</v>
      </c>
    </row>
    <row r="229" spans="2:6" x14ac:dyDescent="0.35">
      <c r="F229" s="6"/>
    </row>
    <row r="230" spans="2:6" ht="15" thickBot="1" x14ac:dyDescent="0.4"/>
    <row r="231" spans="2:6" x14ac:dyDescent="0.35">
      <c r="B231" s="44" t="s">
        <v>504</v>
      </c>
      <c r="E231" s="69">
        <f>E232+E243</f>
        <v>67629.938552898646</v>
      </c>
      <c r="F231" s="70" t="s">
        <v>505</v>
      </c>
    </row>
    <row r="232" spans="2:6" x14ac:dyDescent="0.35">
      <c r="E232" s="71">
        <f>E233+E234+E237</f>
        <v>49440.958030997506</v>
      </c>
      <c r="F232" s="72" t="s">
        <v>506</v>
      </c>
    </row>
    <row r="233" spans="2:6" x14ac:dyDescent="0.35">
      <c r="E233" s="71">
        <f>E184</f>
        <v>1221.4824925305268</v>
      </c>
      <c r="F233" s="73" t="s">
        <v>138</v>
      </c>
    </row>
    <row r="234" spans="2:6" x14ac:dyDescent="0.35">
      <c r="E234" s="71">
        <f>E235+E236</f>
        <v>11569.735105558048</v>
      </c>
      <c r="F234" s="73" t="s">
        <v>198</v>
      </c>
    </row>
    <row r="235" spans="2:6" x14ac:dyDescent="0.35">
      <c r="E235" s="71">
        <f>E186</f>
        <v>6326.2720197267154</v>
      </c>
      <c r="F235" s="74" t="s">
        <v>507</v>
      </c>
    </row>
    <row r="236" spans="2:6" x14ac:dyDescent="0.35">
      <c r="E236" s="71">
        <f>E187</f>
        <v>5243.4630858313312</v>
      </c>
      <c r="F236" s="74" t="s">
        <v>508</v>
      </c>
    </row>
    <row r="237" spans="2:6" x14ac:dyDescent="0.35">
      <c r="E237" s="71">
        <f>SUM(E238:E242)</f>
        <v>36649.740432908933</v>
      </c>
      <c r="F237" s="73" t="s">
        <v>474</v>
      </c>
    </row>
    <row r="238" spans="2:6" x14ac:dyDescent="0.35">
      <c r="E238" s="71">
        <f>E190</f>
        <v>6766.5092802712124</v>
      </c>
      <c r="F238" s="74" t="s">
        <v>921</v>
      </c>
    </row>
    <row r="239" spans="2:6" x14ac:dyDescent="0.35">
      <c r="E239" s="71">
        <f>E189</f>
        <v>8875.1528330508208</v>
      </c>
      <c r="F239" s="74" t="s">
        <v>920</v>
      </c>
    </row>
    <row r="240" spans="2:6" x14ac:dyDescent="0.35">
      <c r="E240" s="71">
        <f>E191</f>
        <v>407.16083084350879</v>
      </c>
      <c r="F240" s="74" t="s">
        <v>426</v>
      </c>
    </row>
    <row r="241" spans="5:7" x14ac:dyDescent="0.35">
      <c r="E241" s="71">
        <f>E192</f>
        <v>174.49749893293236</v>
      </c>
      <c r="F241" s="74" t="s">
        <v>129</v>
      </c>
    </row>
    <row r="242" spans="5:7" x14ac:dyDescent="0.35">
      <c r="E242" s="71">
        <f>E193</f>
        <v>20426.41998981046</v>
      </c>
      <c r="F242" s="74" t="s">
        <v>250</v>
      </c>
    </row>
    <row r="243" spans="5:7" x14ac:dyDescent="0.35">
      <c r="E243" s="71">
        <f>SUM(E244:E246)</f>
        <v>18188.980521901136</v>
      </c>
      <c r="F243" s="72" t="s">
        <v>509</v>
      </c>
    </row>
    <row r="244" spans="5:7" x14ac:dyDescent="0.35">
      <c r="E244" s="71">
        <f>E248+E252</f>
        <v>3634.4101278356611</v>
      </c>
      <c r="F244" s="73" t="s">
        <v>138</v>
      </c>
    </row>
    <row r="245" spans="5:7" x14ac:dyDescent="0.35">
      <c r="E245" s="71">
        <f t="shared" ref="E245:E246" si="1">E249+E253</f>
        <v>7539.3449719092805</v>
      </c>
      <c r="F245" s="73" t="s">
        <v>198</v>
      </c>
    </row>
    <row r="246" spans="5:7" x14ac:dyDescent="0.35">
      <c r="E246" s="71">
        <f t="shared" si="1"/>
        <v>7015.2254221561952</v>
      </c>
      <c r="F246" s="73" t="s">
        <v>474</v>
      </c>
    </row>
    <row r="247" spans="5:7" x14ac:dyDescent="0.35">
      <c r="E247" s="71">
        <f>SUM(E248:E250)</f>
        <v>9532.8009494749313</v>
      </c>
      <c r="F247" s="75" t="s">
        <v>510</v>
      </c>
    </row>
    <row r="248" spans="5:7" x14ac:dyDescent="0.35">
      <c r="E248" s="71">
        <f>E197</f>
        <v>15.905573619999998</v>
      </c>
      <c r="F248" s="73" t="s">
        <v>138</v>
      </c>
      <c r="G248" s="4"/>
    </row>
    <row r="249" spans="5:7" x14ac:dyDescent="0.35">
      <c r="E249" s="71">
        <f>E198</f>
        <v>5034.7428200899994</v>
      </c>
      <c r="F249" s="73" t="s">
        <v>198</v>
      </c>
    </row>
    <row r="250" spans="5:7" x14ac:dyDescent="0.35">
      <c r="E250" s="71">
        <f>E202</f>
        <v>4482.152555764932</v>
      </c>
      <c r="F250" s="73" t="s">
        <v>474</v>
      </c>
    </row>
    <row r="251" spans="5:7" x14ac:dyDescent="0.35">
      <c r="E251" s="71">
        <f>SUM(E252:E254)</f>
        <v>8656.1795724262047</v>
      </c>
      <c r="F251" s="75" t="s">
        <v>490</v>
      </c>
    </row>
    <row r="252" spans="5:7" x14ac:dyDescent="0.35">
      <c r="E252" s="71">
        <f>E205</f>
        <v>3618.5045542156613</v>
      </c>
      <c r="F252" s="73" t="s">
        <v>138</v>
      </c>
    </row>
    <row r="253" spans="5:7" x14ac:dyDescent="0.35">
      <c r="E253" s="71">
        <f>E206</f>
        <v>2504.6021518192811</v>
      </c>
      <c r="F253" s="73" t="s">
        <v>198</v>
      </c>
    </row>
    <row r="254" spans="5:7" x14ac:dyDescent="0.35">
      <c r="E254" s="71">
        <f>E209</f>
        <v>2533.0728663912632</v>
      </c>
      <c r="F254" s="73" t="s">
        <v>474</v>
      </c>
    </row>
    <row r="255" spans="5:7" x14ac:dyDescent="0.35">
      <c r="E255" s="71">
        <f>E256+E257</f>
        <v>59378.73333333333</v>
      </c>
      <c r="F255" s="76" t="s">
        <v>511</v>
      </c>
    </row>
    <row r="256" spans="5:7" x14ac:dyDescent="0.35">
      <c r="E256" s="71">
        <f>E225</f>
        <v>55031.399999999994</v>
      </c>
      <c r="F256" s="72" t="s">
        <v>500</v>
      </c>
    </row>
    <row r="257" spans="2:7" x14ac:dyDescent="0.35">
      <c r="E257" s="71">
        <f>E226</f>
        <v>4347.333333333333</v>
      </c>
      <c r="F257" s="72" t="s">
        <v>501</v>
      </c>
    </row>
    <row r="258" spans="2:7" ht="15" thickBot="1" x14ac:dyDescent="0.4">
      <c r="E258" s="77">
        <f>E231-E255</f>
        <v>8251.2052195653159</v>
      </c>
      <c r="F258" s="78" t="s">
        <v>512</v>
      </c>
      <c r="G258" s="4"/>
    </row>
    <row r="259" spans="2:7" x14ac:dyDescent="0.35">
      <c r="E259" s="4" t="s">
        <v>513</v>
      </c>
    </row>
    <row r="260" spans="2:7" x14ac:dyDescent="0.35">
      <c r="E260" s="4" t="s">
        <v>514</v>
      </c>
    </row>
    <row r="263" spans="2:7" x14ac:dyDescent="0.35">
      <c r="B263" s="44" t="s">
        <v>515</v>
      </c>
      <c r="E263" s="4">
        <f>SUM(E264:E267)</f>
        <v>3634.4101278356616</v>
      </c>
      <c r="F263" s="22" t="s">
        <v>138</v>
      </c>
    </row>
    <row r="264" spans="2:7" x14ac:dyDescent="0.35">
      <c r="B264" s="44" t="s">
        <v>516</v>
      </c>
      <c r="E264" s="4">
        <f>E270+E276</f>
        <v>2525.6736007737991</v>
      </c>
      <c r="F264" s="6" t="s">
        <v>517</v>
      </c>
    </row>
    <row r="265" spans="2:7" x14ac:dyDescent="0.35">
      <c r="E265" s="4">
        <f t="shared" ref="E265:E267" si="2">E271+E277</f>
        <v>852.80793304353006</v>
      </c>
      <c r="F265" s="6" t="s">
        <v>518</v>
      </c>
    </row>
    <row r="266" spans="2:7" x14ac:dyDescent="0.35">
      <c r="E266" s="4">
        <f t="shared" si="2"/>
        <v>15.747784219999998</v>
      </c>
      <c r="F266" s="6" t="s">
        <v>519</v>
      </c>
    </row>
    <row r="267" spans="2:7" x14ac:dyDescent="0.35">
      <c r="E267" s="4">
        <f t="shared" si="2"/>
        <v>240.18080979833192</v>
      </c>
      <c r="F267" s="6" t="s">
        <v>228</v>
      </c>
    </row>
    <row r="269" spans="2:7" x14ac:dyDescent="0.35">
      <c r="E269" s="4">
        <f>SUM(E270:E273)</f>
        <v>15.905573619999998</v>
      </c>
      <c r="F269" s="48" t="s">
        <v>510</v>
      </c>
    </row>
    <row r="270" spans="2:7" x14ac:dyDescent="0.35">
      <c r="E270" s="4">
        <v>0</v>
      </c>
      <c r="F270" s="6" t="s">
        <v>517</v>
      </c>
    </row>
    <row r="271" spans="2:7" x14ac:dyDescent="0.35">
      <c r="E271" s="4">
        <f>E105</f>
        <v>7.2024000000000005E-2</v>
      </c>
      <c r="F271" s="6" t="s">
        <v>518</v>
      </c>
    </row>
    <row r="272" spans="2:7" x14ac:dyDescent="0.35">
      <c r="E272" s="4">
        <f>E104</f>
        <v>15.747784219999998</v>
      </c>
      <c r="F272" s="6" t="s">
        <v>519</v>
      </c>
    </row>
    <row r="273" spans="2:6" x14ac:dyDescent="0.35">
      <c r="E273" s="4">
        <f>E106</f>
        <v>8.5765399999999992E-2</v>
      </c>
      <c r="F273" s="6" t="s">
        <v>228</v>
      </c>
    </row>
    <row r="275" spans="2:6" x14ac:dyDescent="0.35">
      <c r="E275" s="4">
        <f>SUM(E276:E279)</f>
        <v>3618.5045542156613</v>
      </c>
      <c r="F275" s="48" t="s">
        <v>490</v>
      </c>
    </row>
    <row r="276" spans="2:6" x14ac:dyDescent="0.35">
      <c r="E276" s="4">
        <f>E51</f>
        <v>2525.6736007737991</v>
      </c>
      <c r="F276" s="6" t="s">
        <v>517</v>
      </c>
    </row>
    <row r="277" spans="2:6" x14ac:dyDescent="0.35">
      <c r="E277" s="4">
        <f>E55</f>
        <v>852.73590904353</v>
      </c>
      <c r="F277" s="6" t="s">
        <v>518</v>
      </c>
    </row>
    <row r="278" spans="2:6" x14ac:dyDescent="0.35">
      <c r="E278" s="4">
        <v>0</v>
      </c>
      <c r="F278" s="6" t="s">
        <v>519</v>
      </c>
    </row>
    <row r="279" spans="2:6" x14ac:dyDescent="0.35">
      <c r="E279" s="4">
        <f>E59</f>
        <v>240.09504439833191</v>
      </c>
      <c r="F279" s="6" t="s">
        <v>228</v>
      </c>
    </row>
    <row r="283" spans="2:6" x14ac:dyDescent="0.35">
      <c r="B283" s="44" t="s">
        <v>522</v>
      </c>
      <c r="E283" s="4">
        <f>E289+E295</f>
        <v>7539.3449719092805</v>
      </c>
      <c r="F283" s="2" t="s">
        <v>198</v>
      </c>
    </row>
    <row r="284" spans="2:6" x14ac:dyDescent="0.35">
      <c r="B284" s="44" t="s">
        <v>520</v>
      </c>
      <c r="E284" s="4">
        <f t="shared" ref="E284:E287" si="3">E290+E296</f>
        <v>3477.8240000000001</v>
      </c>
      <c r="F284" s="48" t="s">
        <v>464</v>
      </c>
    </row>
    <row r="285" spans="2:6" x14ac:dyDescent="0.35">
      <c r="E285" s="4">
        <f t="shared" si="3"/>
        <v>3112.0619999999999</v>
      </c>
      <c r="F285" s="48" t="s">
        <v>288</v>
      </c>
    </row>
    <row r="286" spans="2:6" x14ac:dyDescent="0.35">
      <c r="E286" s="4">
        <f t="shared" si="3"/>
        <v>82.352999999999994</v>
      </c>
      <c r="F286" s="48" t="s">
        <v>521</v>
      </c>
    </row>
    <row r="287" spans="2:6" x14ac:dyDescent="0.35">
      <c r="E287" s="4">
        <f t="shared" si="3"/>
        <v>867.10597190928115</v>
      </c>
      <c r="F287" s="48" t="s">
        <v>474</v>
      </c>
    </row>
    <row r="289" spans="5:6" x14ac:dyDescent="0.35">
      <c r="E289" s="4">
        <f>SUM(E290:E293)</f>
        <v>5034.7428200899994</v>
      </c>
      <c r="F289" s="48" t="s">
        <v>510</v>
      </c>
    </row>
    <row r="290" spans="5:6" x14ac:dyDescent="0.35">
      <c r="E290" s="4">
        <f>E199</f>
        <v>3477.8240000000001</v>
      </c>
      <c r="F290" s="6" t="s">
        <v>464</v>
      </c>
    </row>
    <row r="291" spans="5:6" x14ac:dyDescent="0.35">
      <c r="E291" s="4">
        <f>E200</f>
        <v>1556.0309999999999</v>
      </c>
      <c r="F291" s="6" t="s">
        <v>288</v>
      </c>
    </row>
    <row r="292" spans="5:6" x14ac:dyDescent="0.35">
      <c r="E292" s="4">
        <v>0</v>
      </c>
      <c r="F292" s="6" t="s">
        <v>521</v>
      </c>
    </row>
    <row r="293" spans="5:6" x14ac:dyDescent="0.35">
      <c r="E293" s="4">
        <f>E201</f>
        <v>0.88782009000000006</v>
      </c>
      <c r="F293" s="6" t="s">
        <v>228</v>
      </c>
    </row>
    <row r="294" spans="5:6" x14ac:dyDescent="0.35">
      <c r="F294" s="22"/>
    </row>
    <row r="295" spans="5:6" x14ac:dyDescent="0.35">
      <c r="E295" s="4">
        <f>SUM(E296:E299)</f>
        <v>2504.6021518192811</v>
      </c>
      <c r="F295" s="48" t="s">
        <v>490</v>
      </c>
    </row>
    <row r="296" spans="5:6" x14ac:dyDescent="0.35">
      <c r="E296" s="4">
        <v>0</v>
      </c>
      <c r="F296" s="6" t="s">
        <v>464</v>
      </c>
    </row>
    <row r="297" spans="5:6" x14ac:dyDescent="0.35">
      <c r="E297" s="4">
        <f>E117</f>
        <v>1556.0309999999999</v>
      </c>
      <c r="F297" s="6" t="s">
        <v>288</v>
      </c>
    </row>
    <row r="298" spans="5:6" x14ac:dyDescent="0.35">
      <c r="E298" s="4">
        <f>E118</f>
        <v>82.352999999999994</v>
      </c>
      <c r="F298" s="6" t="s">
        <v>521</v>
      </c>
    </row>
    <row r="299" spans="5:6" x14ac:dyDescent="0.35">
      <c r="E299" s="4">
        <f>E208</f>
        <v>866.21815181928116</v>
      </c>
      <c r="F299" s="6" t="s">
        <v>474</v>
      </c>
    </row>
  </sheetData>
  <mergeCells count="8">
    <mergeCell ref="B4:B6"/>
    <mergeCell ref="B8:B14"/>
    <mergeCell ref="B195:B196"/>
    <mergeCell ref="B211:B213"/>
    <mergeCell ref="B157:B158"/>
    <mergeCell ref="B120:B121"/>
    <mergeCell ref="B33:B35"/>
    <mergeCell ref="B82:B8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D234D-715E-4B9B-B448-8F8EC0E972B0}">
  <dimension ref="B2:P27"/>
  <sheetViews>
    <sheetView workbookViewId="0"/>
  </sheetViews>
  <sheetFormatPr defaultColWidth="8.7265625" defaultRowHeight="14.5" x14ac:dyDescent="0.35"/>
  <cols>
    <col min="1" max="1" width="8.7265625" style="2"/>
    <col min="2" max="2" width="6.453125" style="2" customWidth="1"/>
    <col min="3" max="3" width="12.54296875" style="14" customWidth="1"/>
    <col min="4" max="4" width="1.54296875" style="2" customWidth="1"/>
    <col min="5" max="9" width="12.54296875" style="2" customWidth="1"/>
    <col min="10" max="10" width="1.54296875" style="2" customWidth="1"/>
    <col min="11" max="13" width="12.54296875" style="2" customWidth="1"/>
    <col min="14" max="14" width="8.7265625" style="2"/>
    <col min="15" max="15" width="10.81640625" style="2" customWidth="1"/>
    <col min="16" max="16" width="10.26953125" style="2" bestFit="1" customWidth="1"/>
    <col min="17" max="16384" width="8.7265625" style="2"/>
  </cols>
  <sheetData>
    <row r="2" spans="2:16" x14ac:dyDescent="0.35">
      <c r="B2" s="1" t="s">
        <v>236</v>
      </c>
      <c r="C2" s="27"/>
      <c r="D2" s="1"/>
    </row>
    <row r="3" spans="2:16" x14ac:dyDescent="0.35">
      <c r="B3" s="2" t="s">
        <v>237</v>
      </c>
    </row>
    <row r="5" spans="2:16" ht="12.65" customHeight="1" x14ac:dyDescent="0.35">
      <c r="B5" s="28"/>
      <c r="C5" s="112" t="s">
        <v>238</v>
      </c>
      <c r="D5" s="28"/>
      <c r="E5" s="115" t="s">
        <v>239</v>
      </c>
      <c r="F5" s="115"/>
      <c r="G5" s="115"/>
      <c r="H5" s="115"/>
      <c r="I5" s="115"/>
      <c r="J5" s="29"/>
      <c r="K5" s="110" t="s">
        <v>240</v>
      </c>
      <c r="L5" s="110"/>
      <c r="M5" s="110"/>
    </row>
    <row r="6" spans="2:16" x14ac:dyDescent="0.35">
      <c r="C6" s="113"/>
      <c r="E6" s="116" t="s">
        <v>241</v>
      </c>
      <c r="F6" s="112" t="s">
        <v>242</v>
      </c>
      <c r="G6" s="116" t="s">
        <v>243</v>
      </c>
      <c r="H6" s="116"/>
      <c r="I6" s="116"/>
      <c r="J6" s="30"/>
      <c r="K6" s="112" t="s">
        <v>241</v>
      </c>
      <c r="L6" s="112" t="s">
        <v>244</v>
      </c>
      <c r="M6" s="112" t="s">
        <v>245</v>
      </c>
      <c r="O6" s="110" t="s">
        <v>246</v>
      </c>
      <c r="P6" s="110" t="s">
        <v>247</v>
      </c>
    </row>
    <row r="7" spans="2:16" ht="30" customHeight="1" x14ac:dyDescent="0.35">
      <c r="B7" s="17"/>
      <c r="C7" s="114"/>
      <c r="D7" s="17"/>
      <c r="E7" s="117"/>
      <c r="F7" s="114"/>
      <c r="G7" s="32" t="s">
        <v>248</v>
      </c>
      <c r="H7" s="33" t="s">
        <v>249</v>
      </c>
      <c r="I7" s="32" t="s">
        <v>250</v>
      </c>
      <c r="J7" s="31"/>
      <c r="K7" s="114"/>
      <c r="L7" s="114"/>
      <c r="M7" s="114"/>
      <c r="O7" s="111"/>
      <c r="P7" s="111"/>
    </row>
    <row r="8" spans="2:16" x14ac:dyDescent="0.35">
      <c r="B8" s="2">
        <v>2010</v>
      </c>
      <c r="C8" s="4">
        <v>309327143</v>
      </c>
      <c r="E8" s="4">
        <v>1364004</v>
      </c>
      <c r="F8" s="4">
        <v>39377</v>
      </c>
      <c r="G8" s="4">
        <v>1324627</v>
      </c>
      <c r="H8" s="4">
        <v>62322</v>
      </c>
      <c r="I8" s="4">
        <v>1262305</v>
      </c>
      <c r="J8" s="4"/>
      <c r="K8" s="4">
        <v>177949</v>
      </c>
      <c r="L8" s="4">
        <v>136407</v>
      </c>
      <c r="M8" s="4">
        <v>41542</v>
      </c>
      <c r="O8" s="4">
        <f>18/365*P8</f>
        <v>2959415.01369863</v>
      </c>
      <c r="P8" s="4">
        <v>60010360</v>
      </c>
    </row>
    <row r="9" spans="2:16" x14ac:dyDescent="0.35">
      <c r="B9" s="2">
        <v>2011</v>
      </c>
      <c r="C9" s="4">
        <v>311583481</v>
      </c>
      <c r="E9" s="4">
        <v>1379562</v>
      </c>
      <c r="F9" s="4">
        <v>39797</v>
      </c>
      <c r="G9" s="4">
        <v>1339765</v>
      </c>
      <c r="H9" s="4">
        <v>59849</v>
      </c>
      <c r="I9" s="4">
        <v>1279916</v>
      </c>
      <c r="J9" s="4"/>
      <c r="K9" s="4">
        <v>185824</v>
      </c>
      <c r="L9" s="4">
        <v>142027</v>
      </c>
      <c r="M9" s="4">
        <v>43797</v>
      </c>
      <c r="O9" s="4">
        <f t="shared" ref="O9:O15" si="0">18/365*P9</f>
        <v>3130393.117808219</v>
      </c>
      <c r="P9" s="4">
        <v>63477416</v>
      </c>
    </row>
    <row r="10" spans="2:16" x14ac:dyDescent="0.35">
      <c r="B10" s="2">
        <v>2012</v>
      </c>
      <c r="C10" s="4">
        <v>313877662</v>
      </c>
      <c r="E10" s="4">
        <v>1395199</v>
      </c>
      <c r="F10" s="4">
        <v>43083</v>
      </c>
      <c r="G10" s="4">
        <v>1352116</v>
      </c>
      <c r="H10" s="4">
        <v>60271</v>
      </c>
      <c r="I10" s="4">
        <v>1291845</v>
      </c>
      <c r="J10" s="4"/>
      <c r="K10" s="4">
        <v>201267</v>
      </c>
      <c r="L10" s="4">
        <v>148887</v>
      </c>
      <c r="M10" s="4">
        <v>52380</v>
      </c>
      <c r="O10" s="4">
        <f t="shared" si="0"/>
        <v>3302477.1123287668</v>
      </c>
      <c r="P10" s="4">
        <v>66966897</v>
      </c>
    </row>
    <row r="11" spans="2:16" x14ac:dyDescent="0.35">
      <c r="B11" s="2">
        <v>2013</v>
      </c>
      <c r="C11" s="4">
        <v>316059947</v>
      </c>
      <c r="E11" s="4">
        <v>1408822</v>
      </c>
      <c r="F11" s="4">
        <v>46143</v>
      </c>
      <c r="G11" s="4">
        <v>1362679</v>
      </c>
      <c r="H11" s="4">
        <v>60490</v>
      </c>
      <c r="I11" s="4">
        <v>1302189</v>
      </c>
      <c r="J11" s="4"/>
      <c r="K11" s="4">
        <v>202876</v>
      </c>
      <c r="L11" s="4">
        <v>149213</v>
      </c>
      <c r="M11" s="4">
        <v>53663</v>
      </c>
      <c r="O11" s="4">
        <f t="shared" si="0"/>
        <v>3533074.8657534244</v>
      </c>
      <c r="P11" s="4">
        <v>71642907</v>
      </c>
    </row>
    <row r="12" spans="2:16" x14ac:dyDescent="0.35">
      <c r="B12" s="2">
        <v>2014</v>
      </c>
      <c r="C12" s="4">
        <v>318386329</v>
      </c>
      <c r="E12" s="4">
        <v>1415335</v>
      </c>
      <c r="F12" s="4">
        <v>47202</v>
      </c>
      <c r="G12" s="4">
        <v>1368133</v>
      </c>
      <c r="H12" s="4">
        <v>63228</v>
      </c>
      <c r="I12" s="4">
        <v>1304905</v>
      </c>
      <c r="J12" s="4"/>
      <c r="K12" s="4">
        <v>206217</v>
      </c>
      <c r="L12" s="4">
        <v>151076</v>
      </c>
      <c r="M12" s="4">
        <v>55141</v>
      </c>
      <c r="O12" s="4">
        <f t="shared" si="0"/>
        <v>3717338.0054794517</v>
      </c>
      <c r="P12" s="4">
        <v>75379354</v>
      </c>
    </row>
    <row r="13" spans="2:16" x14ac:dyDescent="0.35">
      <c r="B13" s="2">
        <v>2015</v>
      </c>
      <c r="C13" s="4">
        <v>320738994</v>
      </c>
      <c r="E13" s="4">
        <v>1422999</v>
      </c>
      <c r="F13" s="4">
        <v>48198</v>
      </c>
      <c r="G13" s="4">
        <v>1374801</v>
      </c>
      <c r="H13" s="4">
        <v>64493</v>
      </c>
      <c r="I13" s="4">
        <v>1310308</v>
      </c>
      <c r="J13" s="4"/>
      <c r="K13" s="4">
        <v>213934</v>
      </c>
      <c r="L13" s="4">
        <v>156026</v>
      </c>
      <c r="M13" s="4">
        <v>57908</v>
      </c>
      <c r="O13" s="4">
        <f t="shared" si="0"/>
        <v>3835406.7616438353</v>
      </c>
      <c r="P13" s="4">
        <v>77773526</v>
      </c>
    </row>
    <row r="14" spans="2:16" x14ac:dyDescent="0.35">
      <c r="B14" s="2">
        <v>2016</v>
      </c>
      <c r="C14" s="4">
        <v>323071755</v>
      </c>
      <c r="E14" s="4">
        <v>1428885</v>
      </c>
      <c r="F14" s="4">
        <v>47576</v>
      </c>
      <c r="G14" s="4">
        <v>1381309</v>
      </c>
      <c r="H14" s="4">
        <v>64342</v>
      </c>
      <c r="I14" s="4">
        <v>1316967</v>
      </c>
      <c r="J14" s="4"/>
      <c r="K14" s="4">
        <v>217675</v>
      </c>
      <c r="L14" s="4">
        <v>157953</v>
      </c>
      <c r="M14" s="4">
        <v>59723</v>
      </c>
      <c r="O14" s="4">
        <f t="shared" si="0"/>
        <v>3768040.5041095889</v>
      </c>
      <c r="P14" s="4">
        <v>76407488</v>
      </c>
    </row>
    <row r="15" spans="2:16" x14ac:dyDescent="0.35">
      <c r="B15" s="2">
        <v>2017</v>
      </c>
      <c r="C15" s="4">
        <v>325122128</v>
      </c>
      <c r="E15" s="4">
        <v>1425763</v>
      </c>
      <c r="F15" s="4">
        <v>46660</v>
      </c>
      <c r="G15" s="4">
        <v>1379103</v>
      </c>
      <c r="H15" s="4">
        <v>58548</v>
      </c>
      <c r="I15" s="4">
        <v>1320555</v>
      </c>
      <c r="J15" s="4"/>
      <c r="K15" s="4">
        <v>229063</v>
      </c>
      <c r="L15" s="4">
        <v>164273</v>
      </c>
      <c r="M15" s="4">
        <v>64791</v>
      </c>
      <c r="O15" s="4">
        <f t="shared" si="0"/>
        <v>3794368.6849315069</v>
      </c>
      <c r="P15" s="4">
        <v>76941365</v>
      </c>
    </row>
    <row r="16" spans="2:16" x14ac:dyDescent="0.35">
      <c r="B16" s="2">
        <v>2018</v>
      </c>
      <c r="C16" s="4">
        <v>326838199</v>
      </c>
      <c r="E16" s="4">
        <v>1423102</v>
      </c>
      <c r="F16" s="4">
        <v>45282</v>
      </c>
      <c r="G16" s="4">
        <v>1377820</v>
      </c>
      <c r="H16" s="4">
        <v>60383</v>
      </c>
      <c r="I16" s="4">
        <v>1317437</v>
      </c>
      <c r="J16" s="4"/>
      <c r="K16" s="4">
        <v>240341</v>
      </c>
      <c r="L16" s="4">
        <v>174611</v>
      </c>
      <c r="M16" s="4">
        <v>65731</v>
      </c>
      <c r="O16" s="4">
        <f>18/365*P16</f>
        <v>3926348.6301369863</v>
      </c>
      <c r="P16" s="4">
        <v>79617625</v>
      </c>
    </row>
    <row r="17" spans="2:16" x14ac:dyDescent="0.35">
      <c r="B17" s="2">
        <v>2019</v>
      </c>
      <c r="C17" s="4">
        <v>328329953</v>
      </c>
      <c r="E17" s="4">
        <v>1415615</v>
      </c>
      <c r="F17" s="4">
        <v>45285</v>
      </c>
      <c r="G17" s="4">
        <v>1370330</v>
      </c>
      <c r="H17" s="4">
        <v>60654</v>
      </c>
      <c r="I17" s="4">
        <v>1309676</v>
      </c>
      <c r="J17" s="4"/>
      <c r="K17" s="4">
        <v>245733</v>
      </c>
      <c r="L17" s="4">
        <v>182288</v>
      </c>
      <c r="M17" s="4">
        <v>63445</v>
      </c>
      <c r="O17" s="4">
        <f t="shared" ref="O17:O20" si="1">18/365*P17</f>
        <v>3908528.2356164381</v>
      </c>
      <c r="P17" s="4">
        <v>79256267</v>
      </c>
    </row>
    <row r="18" spans="2:16" x14ac:dyDescent="0.35">
      <c r="B18" s="2">
        <v>2020</v>
      </c>
      <c r="C18" s="4">
        <v>331511512</v>
      </c>
      <c r="E18" s="4">
        <v>1451043</v>
      </c>
      <c r="F18" s="4">
        <v>42262</v>
      </c>
      <c r="G18" s="4">
        <v>1408781</v>
      </c>
      <c r="H18" s="4">
        <v>55311</v>
      </c>
      <c r="I18" s="4">
        <v>1353470</v>
      </c>
      <c r="J18" s="4"/>
      <c r="K18" s="4">
        <v>77915</v>
      </c>
      <c r="L18" s="4">
        <v>63921</v>
      </c>
      <c r="M18" s="4">
        <v>13993</v>
      </c>
      <c r="O18" s="4">
        <f t="shared" si="1"/>
        <v>958943.78630136978</v>
      </c>
      <c r="P18" s="4">
        <v>19445249</v>
      </c>
    </row>
    <row r="19" spans="2:16" x14ac:dyDescent="0.35">
      <c r="B19" s="2">
        <v>2021</v>
      </c>
      <c r="C19" s="34">
        <v>332031554</v>
      </c>
      <c r="E19" s="4">
        <v>1447154</v>
      </c>
      <c r="F19" s="4">
        <v>42835</v>
      </c>
      <c r="G19" s="4">
        <v>1404319</v>
      </c>
      <c r="H19" s="4">
        <v>54819</v>
      </c>
      <c r="I19" s="4">
        <v>1349500</v>
      </c>
      <c r="K19" s="4">
        <v>178938</v>
      </c>
      <c r="L19" s="4">
        <v>173901</v>
      </c>
      <c r="M19" s="4">
        <v>5037</v>
      </c>
      <c r="O19" s="4">
        <f>18/365*P19</f>
        <v>1089885.3534246576</v>
      </c>
      <c r="P19" s="4">
        <v>22100453</v>
      </c>
    </row>
    <row r="20" spans="2:16" x14ac:dyDescent="0.35">
      <c r="B20" s="17">
        <v>2022</v>
      </c>
      <c r="C20" s="10">
        <v>333287557</v>
      </c>
      <c r="D20" s="17"/>
      <c r="E20" s="10">
        <v>1440196</v>
      </c>
      <c r="F20" s="10">
        <v>41219</v>
      </c>
      <c r="G20" s="10">
        <v>1398977</v>
      </c>
      <c r="H20" s="10">
        <v>45587</v>
      </c>
      <c r="I20" s="10">
        <v>1353390</v>
      </c>
      <c r="J20" s="17"/>
      <c r="K20" s="10">
        <v>232154</v>
      </c>
      <c r="L20" s="10">
        <v>206201</v>
      </c>
      <c r="M20" s="10">
        <v>25953</v>
      </c>
      <c r="O20" s="10">
        <f t="shared" si="1"/>
        <v>2508642</v>
      </c>
      <c r="P20" s="10">
        <v>50869685</v>
      </c>
    </row>
    <row r="22" spans="2:16" x14ac:dyDescent="0.35">
      <c r="B22" s="12" t="s">
        <v>251</v>
      </c>
      <c r="C22" s="35"/>
      <c r="D22" s="12"/>
      <c r="O22" s="12" t="s">
        <v>252</v>
      </c>
    </row>
    <row r="23" spans="2:16" x14ac:dyDescent="0.35">
      <c r="C23" s="2"/>
      <c r="O23" s="2" t="s">
        <v>253</v>
      </c>
    </row>
    <row r="27" spans="2:16" x14ac:dyDescent="0.35">
      <c r="O27" s="13" t="s">
        <v>254</v>
      </c>
    </row>
  </sheetData>
  <mergeCells count="11">
    <mergeCell ref="O6:O7"/>
    <mergeCell ref="P6:P7"/>
    <mergeCell ref="C5:C7"/>
    <mergeCell ref="E5:I5"/>
    <mergeCell ref="K5:M5"/>
    <mergeCell ref="E6:E7"/>
    <mergeCell ref="F6:F7"/>
    <mergeCell ref="G6:I6"/>
    <mergeCell ref="K6:K7"/>
    <mergeCell ref="L6:L7"/>
    <mergeCell ref="M6:M7"/>
  </mergeCells>
  <hyperlinks>
    <hyperlink ref="B22" r:id="rId1" xr:uid="{5FC9213E-7921-4EE4-822E-BD1DA65E20EC}"/>
    <hyperlink ref="O22" r:id="rId2" xr:uid="{C563A90D-A2F2-411C-B903-0A11F4D9CF98}"/>
    <hyperlink ref="O27" r:id="rId3" xr:uid="{787838F1-6751-4531-A231-9E127A8E187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B67EC-48F1-4A17-9F95-56D697BE1FEE}">
  <dimension ref="B2:AB27"/>
  <sheetViews>
    <sheetView workbookViewId="0">
      <pane xSplit="2" ySplit="5" topLeftCell="C6" activePane="bottomRight" state="frozen"/>
      <selection activeCell="C28" sqref="C28"/>
      <selection pane="topRight" activeCell="C28" sqref="C28"/>
      <selection pane="bottomLeft" activeCell="C28" sqref="C28"/>
      <selection pane="bottomRight" activeCell="C28" sqref="C28"/>
    </sheetView>
  </sheetViews>
  <sheetFormatPr defaultColWidth="8.7265625" defaultRowHeight="14.5" x14ac:dyDescent="0.35"/>
  <cols>
    <col min="1" max="1" width="8.7265625" style="2"/>
    <col min="2" max="2" width="28.7265625" style="2" customWidth="1"/>
    <col min="3" max="10" width="12.54296875" style="2" customWidth="1"/>
    <col min="11" max="29" width="8.7265625" style="2"/>
    <col min="30" max="30" width="8.90625" style="2" bestFit="1" customWidth="1"/>
    <col min="31" max="16384" width="8.7265625" style="2"/>
  </cols>
  <sheetData>
    <row r="2" spans="2:28" x14ac:dyDescent="0.35">
      <c r="B2" s="1" t="s">
        <v>273</v>
      </c>
    </row>
    <row r="3" spans="2:28" x14ac:dyDescent="0.35">
      <c r="B3" s="3"/>
    </row>
    <row r="5" spans="2:28" x14ac:dyDescent="0.35">
      <c r="B5" s="5"/>
      <c r="C5" s="5">
        <v>1997</v>
      </c>
      <c r="D5" s="5">
        <v>1998</v>
      </c>
      <c r="E5" s="5">
        <v>1999</v>
      </c>
      <c r="F5" s="5">
        <v>2000</v>
      </c>
      <c r="G5" s="5">
        <v>2001</v>
      </c>
      <c r="H5" s="5">
        <v>2002</v>
      </c>
      <c r="I5" s="5">
        <v>2003</v>
      </c>
      <c r="J5" s="5">
        <v>2004</v>
      </c>
      <c r="K5" s="5">
        <v>2005</v>
      </c>
      <c r="L5" s="5">
        <v>2006</v>
      </c>
      <c r="M5" s="5">
        <v>2007</v>
      </c>
      <c r="N5" s="5">
        <v>2008</v>
      </c>
      <c r="O5" s="5">
        <v>2009</v>
      </c>
      <c r="P5" s="5">
        <v>2010</v>
      </c>
      <c r="Q5" s="5">
        <v>2011</v>
      </c>
      <c r="R5" s="5">
        <v>2012</v>
      </c>
      <c r="S5" s="5">
        <v>2013</v>
      </c>
      <c r="T5" s="5">
        <v>2014</v>
      </c>
      <c r="U5" s="5">
        <v>2015</v>
      </c>
      <c r="V5" s="5">
        <v>2016</v>
      </c>
      <c r="W5" s="5">
        <v>2017</v>
      </c>
      <c r="X5" s="5">
        <v>2018</v>
      </c>
      <c r="Y5" s="5">
        <v>2019</v>
      </c>
      <c r="Z5" s="5">
        <v>2020</v>
      </c>
      <c r="AA5" s="5">
        <v>2021</v>
      </c>
      <c r="AB5" s="5">
        <v>2022</v>
      </c>
    </row>
    <row r="6" spans="2:28" x14ac:dyDescent="0.35">
      <c r="B6" s="2" t="s">
        <v>274</v>
      </c>
      <c r="C6" s="4">
        <v>20987</v>
      </c>
      <c r="D6" s="4">
        <v>20324</v>
      </c>
      <c r="E6" s="4">
        <v>21141</v>
      </c>
      <c r="F6" s="4">
        <v>20109</v>
      </c>
      <c r="G6" s="4">
        <v>26024</v>
      </c>
      <c r="H6" s="4">
        <v>27907</v>
      </c>
      <c r="I6" s="4">
        <v>30072</v>
      </c>
      <c r="J6" s="4">
        <v>36772</v>
      </c>
      <c r="K6" s="4">
        <v>38435</v>
      </c>
      <c r="L6" s="4">
        <v>40132</v>
      </c>
      <c r="M6" s="4">
        <v>42326</v>
      </c>
      <c r="N6" s="4">
        <v>48437</v>
      </c>
      <c r="O6" s="4">
        <v>53719</v>
      </c>
      <c r="P6" s="4">
        <v>58018</v>
      </c>
      <c r="Q6" s="4">
        <v>56010</v>
      </c>
      <c r="R6" s="4">
        <v>58518</v>
      </c>
      <c r="S6" s="4">
        <v>56174</v>
      </c>
      <c r="T6" s="4">
        <v>55817</v>
      </c>
      <c r="U6" s="4">
        <v>60072</v>
      </c>
      <c r="V6" s="4">
        <v>61039</v>
      </c>
      <c r="W6" s="4">
        <v>62468</v>
      </c>
      <c r="X6" s="4">
        <v>64308</v>
      </c>
      <c r="Y6" s="4">
        <v>68075</v>
      </c>
      <c r="Z6" s="4">
        <v>81596</v>
      </c>
      <c r="AA6" s="4">
        <v>76690</v>
      </c>
      <c r="AB6" s="4">
        <v>81891</v>
      </c>
    </row>
    <row r="7" spans="2:28" x14ac:dyDescent="0.35">
      <c r="B7" s="2" t="s">
        <v>275</v>
      </c>
      <c r="C7" s="4">
        <v>293010</v>
      </c>
      <c r="D7" s="4">
        <v>289497</v>
      </c>
      <c r="E7" s="4">
        <v>301766</v>
      </c>
      <c r="F7" s="4">
        <v>309155</v>
      </c>
      <c r="G7" s="4">
        <v>325495</v>
      </c>
      <c r="H7" s="4">
        <v>358518</v>
      </c>
      <c r="I7" s="4">
        <v>411179</v>
      </c>
      <c r="J7" s="4">
        <v>448923</v>
      </c>
      <c r="K7" s="4">
        <v>477972</v>
      </c>
      <c r="L7" s="4">
        <v>501268</v>
      </c>
      <c r="M7" s="4">
        <v>528119</v>
      </c>
      <c r="N7" s="4">
        <v>583201</v>
      </c>
      <c r="O7" s="4">
        <v>614309</v>
      </c>
      <c r="P7" s="4">
        <v>651766</v>
      </c>
      <c r="Q7" s="4">
        <v>661984</v>
      </c>
      <c r="R7" s="4">
        <v>650338</v>
      </c>
      <c r="S7" s="4">
        <v>610279</v>
      </c>
      <c r="T7" s="4">
        <v>597106</v>
      </c>
      <c r="U7" s="4">
        <v>584428</v>
      </c>
      <c r="V7" s="4">
        <v>586498</v>
      </c>
      <c r="W7" s="4">
        <v>599358</v>
      </c>
      <c r="X7" s="4">
        <v>633618</v>
      </c>
      <c r="Y7" s="4">
        <v>676677</v>
      </c>
      <c r="Z7" s="4">
        <v>697519</v>
      </c>
      <c r="AA7" s="4">
        <v>709095</v>
      </c>
      <c r="AB7" s="4">
        <v>726008</v>
      </c>
    </row>
    <row r="8" spans="2:28" x14ac:dyDescent="0.35">
      <c r="B8" s="2" t="s">
        <v>264</v>
      </c>
      <c r="C8" s="4">
        <v>14619</v>
      </c>
      <c r="D8" s="4">
        <v>17810</v>
      </c>
      <c r="E8" s="4">
        <v>19570</v>
      </c>
      <c r="F8" s="4">
        <v>23250</v>
      </c>
      <c r="G8" s="4">
        <v>25712</v>
      </c>
      <c r="H8" s="4">
        <v>28242</v>
      </c>
      <c r="I8" s="4">
        <v>31114</v>
      </c>
      <c r="J8" s="4">
        <v>34084</v>
      </c>
      <c r="K8" s="4">
        <v>36434</v>
      </c>
      <c r="L8" s="4">
        <v>38941</v>
      </c>
      <c r="M8" s="4">
        <v>41144</v>
      </c>
      <c r="N8" s="4">
        <v>46708</v>
      </c>
      <c r="O8" s="4">
        <v>51063</v>
      </c>
      <c r="P8" s="4">
        <v>52379</v>
      </c>
      <c r="Q8" s="4">
        <v>53436</v>
      </c>
      <c r="R8" s="4">
        <v>54029</v>
      </c>
      <c r="S8" s="4">
        <v>50565</v>
      </c>
      <c r="T8" s="4">
        <v>51900</v>
      </c>
      <c r="U8" s="4">
        <v>53384</v>
      </c>
      <c r="V8" s="4">
        <v>55694</v>
      </c>
      <c r="W8" s="4">
        <v>57538</v>
      </c>
      <c r="X8" s="4">
        <v>60337</v>
      </c>
      <c r="Y8" s="4">
        <v>60735</v>
      </c>
      <c r="Z8" s="4">
        <v>57970</v>
      </c>
      <c r="AA8" s="4">
        <v>65277</v>
      </c>
      <c r="AB8" s="4">
        <v>70056</v>
      </c>
    </row>
    <row r="9" spans="2:28" x14ac:dyDescent="0.35">
      <c r="B9" s="2" t="s">
        <v>265</v>
      </c>
      <c r="C9" s="4">
        <v>62788</v>
      </c>
      <c r="D9" s="4">
        <v>57871</v>
      </c>
      <c r="E9" s="4">
        <v>61257</v>
      </c>
      <c r="F9" s="4">
        <v>66522</v>
      </c>
      <c r="G9" s="4">
        <v>66850</v>
      </c>
      <c r="H9" s="4">
        <v>78357</v>
      </c>
      <c r="I9" s="4">
        <v>83849</v>
      </c>
      <c r="J9" s="4">
        <v>87455</v>
      </c>
      <c r="K9" s="4">
        <v>87882</v>
      </c>
      <c r="L9" s="4">
        <v>91956</v>
      </c>
      <c r="M9" s="4">
        <v>98411</v>
      </c>
      <c r="N9" s="4">
        <v>102664</v>
      </c>
      <c r="O9" s="4">
        <v>109143</v>
      </c>
      <c r="P9" s="4">
        <v>123859</v>
      </c>
      <c r="Q9" s="4">
        <v>112312</v>
      </c>
      <c r="R9" s="4">
        <v>112635</v>
      </c>
      <c r="S9" s="4">
        <v>109155</v>
      </c>
      <c r="T9" s="4">
        <v>109191</v>
      </c>
      <c r="U9" s="4">
        <v>113273</v>
      </c>
      <c r="V9" s="4">
        <v>114213</v>
      </c>
      <c r="W9" s="4">
        <v>116295</v>
      </c>
      <c r="X9" s="4">
        <v>123369</v>
      </c>
      <c r="Y9" s="4">
        <v>125245</v>
      </c>
      <c r="Z9" s="4">
        <v>148627</v>
      </c>
      <c r="AA9" s="4">
        <v>164130</v>
      </c>
      <c r="AB9" s="4">
        <v>132329</v>
      </c>
    </row>
    <row r="10" spans="2:28" x14ac:dyDescent="0.35">
      <c r="B10" s="2" t="s">
        <v>276</v>
      </c>
      <c r="C10" s="4">
        <v>572</v>
      </c>
      <c r="D10" s="4">
        <v>1441</v>
      </c>
      <c r="E10" s="4">
        <v>1503</v>
      </c>
      <c r="F10" s="4">
        <v>-183</v>
      </c>
      <c r="G10" s="4">
        <v>700</v>
      </c>
      <c r="H10" s="4">
        <v>1012</v>
      </c>
      <c r="I10" s="4">
        <v>1156</v>
      </c>
      <c r="J10" s="4">
        <v>698</v>
      </c>
      <c r="K10" s="4">
        <v>1374</v>
      </c>
      <c r="L10" s="4">
        <v>1067</v>
      </c>
      <c r="M10" s="4">
        <v>1390</v>
      </c>
      <c r="N10" s="4">
        <v>1581</v>
      </c>
      <c r="O10" s="4">
        <v>1699</v>
      </c>
      <c r="P10" s="4">
        <v>1960</v>
      </c>
      <c r="Q10" s="4">
        <v>2118</v>
      </c>
      <c r="R10" s="4">
        <v>2140</v>
      </c>
      <c r="S10" s="4">
        <v>2008</v>
      </c>
      <c r="T10" s="4">
        <v>1919</v>
      </c>
      <c r="U10" s="4">
        <v>1833</v>
      </c>
      <c r="V10" s="4">
        <v>1694</v>
      </c>
      <c r="W10" s="4">
        <v>1693</v>
      </c>
      <c r="X10" s="4">
        <v>1717</v>
      </c>
      <c r="Y10" s="4">
        <v>1858</v>
      </c>
      <c r="Z10" s="4">
        <v>2037</v>
      </c>
      <c r="AA10" s="4">
        <v>1773</v>
      </c>
      <c r="AB10" s="4">
        <v>1623</v>
      </c>
    </row>
    <row r="11" spans="2:28" x14ac:dyDescent="0.35">
      <c r="B11" s="2" t="s">
        <v>198</v>
      </c>
      <c r="C11" s="4">
        <v>36381</v>
      </c>
      <c r="D11" s="4">
        <v>36675</v>
      </c>
      <c r="E11" s="4">
        <v>36654</v>
      </c>
      <c r="F11" s="4">
        <v>41190</v>
      </c>
      <c r="G11" s="4">
        <v>44793</v>
      </c>
      <c r="H11" s="4">
        <v>47282</v>
      </c>
      <c r="I11" s="4">
        <v>53329</v>
      </c>
      <c r="J11" s="4">
        <v>54330</v>
      </c>
      <c r="K11" s="4">
        <v>56694</v>
      </c>
      <c r="L11" s="4">
        <v>58380</v>
      </c>
      <c r="M11" s="4">
        <v>63473</v>
      </c>
      <c r="N11" s="4">
        <v>71984</v>
      </c>
      <c r="O11" s="4">
        <v>80778</v>
      </c>
      <c r="P11" s="4">
        <v>84429</v>
      </c>
      <c r="Q11" s="4">
        <v>90020</v>
      </c>
      <c r="R11" s="4">
        <v>93724</v>
      </c>
      <c r="S11" s="4">
        <v>98139</v>
      </c>
      <c r="T11" s="4">
        <v>103856</v>
      </c>
      <c r="U11" s="4">
        <v>109168</v>
      </c>
      <c r="V11" s="4">
        <v>111507</v>
      </c>
      <c r="W11" s="4">
        <v>106328</v>
      </c>
      <c r="X11" s="4">
        <v>111878</v>
      </c>
      <c r="Y11" s="4">
        <v>120355</v>
      </c>
      <c r="Z11" s="4">
        <v>134248</v>
      </c>
      <c r="AA11" s="4">
        <v>157918</v>
      </c>
      <c r="AB11" s="4">
        <v>173949</v>
      </c>
    </row>
    <row r="12" spans="2:28" x14ac:dyDescent="0.35">
      <c r="B12" s="2" t="s">
        <v>277</v>
      </c>
      <c r="C12" s="4">
        <v>2028</v>
      </c>
      <c r="D12" s="4">
        <v>2073</v>
      </c>
      <c r="E12" s="4">
        <v>1729</v>
      </c>
      <c r="F12" s="4">
        <v>2288</v>
      </c>
      <c r="G12" s="4">
        <v>2577</v>
      </c>
      <c r="H12" s="4">
        <v>3063</v>
      </c>
      <c r="I12" s="4">
        <v>3092</v>
      </c>
      <c r="J12" s="4">
        <v>3336</v>
      </c>
      <c r="K12" s="4">
        <v>3561</v>
      </c>
      <c r="L12" s="4">
        <v>3551</v>
      </c>
      <c r="M12" s="4">
        <v>3523</v>
      </c>
      <c r="N12" s="4">
        <v>3805</v>
      </c>
      <c r="O12" s="4">
        <v>4155</v>
      </c>
      <c r="P12" s="4">
        <v>4594</v>
      </c>
      <c r="Q12" s="4">
        <v>4227</v>
      </c>
      <c r="R12" s="4">
        <v>4366</v>
      </c>
      <c r="S12" s="4">
        <v>4385</v>
      </c>
      <c r="T12" s="4">
        <v>4295</v>
      </c>
      <c r="U12" s="4">
        <v>4045</v>
      </c>
      <c r="V12" s="4">
        <v>4266</v>
      </c>
      <c r="W12" s="4">
        <v>4329</v>
      </c>
      <c r="X12" s="4">
        <v>4500</v>
      </c>
      <c r="Y12" s="4">
        <v>4688</v>
      </c>
      <c r="Z12" s="4">
        <v>4798</v>
      </c>
      <c r="AA12" s="4">
        <v>4717</v>
      </c>
      <c r="AB12" s="4">
        <v>4646</v>
      </c>
    </row>
    <row r="13" spans="2:28" x14ac:dyDescent="0.35">
      <c r="B13" s="2" t="s">
        <v>138</v>
      </c>
      <c r="C13" s="4">
        <v>3119</v>
      </c>
      <c r="D13" s="4">
        <v>4150</v>
      </c>
      <c r="E13" s="4">
        <v>4614</v>
      </c>
      <c r="F13" s="4">
        <v>4951</v>
      </c>
      <c r="G13" s="4">
        <v>5557</v>
      </c>
      <c r="H13" s="4">
        <v>5850</v>
      </c>
      <c r="I13" s="4">
        <v>5969</v>
      </c>
      <c r="J13" s="4">
        <v>6058</v>
      </c>
      <c r="K13" s="4">
        <v>7011</v>
      </c>
      <c r="L13" s="4">
        <v>6591</v>
      </c>
      <c r="M13" s="4">
        <v>6214</v>
      </c>
      <c r="N13" s="4">
        <v>6436</v>
      </c>
      <c r="O13" s="4">
        <v>6733</v>
      </c>
      <c r="P13" s="4">
        <v>7286</v>
      </c>
      <c r="Q13" s="4">
        <v>7867</v>
      </c>
      <c r="R13" s="4">
        <v>7862</v>
      </c>
      <c r="S13" s="4">
        <v>7966</v>
      </c>
      <c r="T13" s="4">
        <v>7765</v>
      </c>
      <c r="U13" s="4">
        <v>8131</v>
      </c>
      <c r="V13" s="4">
        <v>8416</v>
      </c>
      <c r="W13" s="4">
        <v>8679</v>
      </c>
      <c r="X13" s="4">
        <v>8409</v>
      </c>
      <c r="Y13" s="4">
        <v>8738</v>
      </c>
      <c r="Z13" s="4">
        <v>8934</v>
      </c>
      <c r="AA13" s="4">
        <v>9550</v>
      </c>
      <c r="AB13" s="4">
        <v>9990</v>
      </c>
    </row>
    <row r="14" spans="2:28" x14ac:dyDescent="0.35">
      <c r="B14" s="2" t="s">
        <v>278</v>
      </c>
      <c r="C14" s="4">
        <v>6065</v>
      </c>
      <c r="D14" s="4">
        <v>7998</v>
      </c>
      <c r="E14" s="4">
        <v>7631</v>
      </c>
      <c r="F14" s="4">
        <v>8400</v>
      </c>
      <c r="G14" s="4">
        <v>8660</v>
      </c>
      <c r="H14" s="4">
        <v>10713</v>
      </c>
      <c r="I14" s="4">
        <v>11845</v>
      </c>
      <c r="J14" s="4">
        <v>12049</v>
      </c>
      <c r="K14" s="4">
        <v>16412</v>
      </c>
      <c r="L14" s="4">
        <v>23663</v>
      </c>
      <c r="M14" s="4">
        <v>16388</v>
      </c>
      <c r="N14" s="4">
        <v>15458</v>
      </c>
      <c r="O14" s="4">
        <v>16565</v>
      </c>
      <c r="P14" s="4">
        <v>18616</v>
      </c>
      <c r="Q14" s="4">
        <v>16125</v>
      </c>
      <c r="R14" s="4">
        <v>16109</v>
      </c>
      <c r="S14" s="4">
        <v>17756</v>
      </c>
      <c r="T14" s="4">
        <v>18438</v>
      </c>
      <c r="U14" s="4">
        <v>17413</v>
      </c>
      <c r="V14" s="4">
        <v>18990</v>
      </c>
      <c r="W14" s="4">
        <v>21812</v>
      </c>
      <c r="X14" s="4">
        <v>26282</v>
      </c>
      <c r="Y14" s="4">
        <v>23345</v>
      </c>
      <c r="Z14" s="4">
        <v>22886</v>
      </c>
      <c r="AA14" s="4">
        <v>27213</v>
      </c>
      <c r="AB14" s="4">
        <v>28506</v>
      </c>
    </row>
    <row r="15" spans="2:28" x14ac:dyDescent="0.35">
      <c r="B15" s="17" t="s">
        <v>241</v>
      </c>
      <c r="C15" s="10">
        <v>439569</v>
      </c>
      <c r="D15" s="10">
        <v>437839</v>
      </c>
      <c r="E15" s="10">
        <v>455865</v>
      </c>
      <c r="F15" s="10">
        <v>475682</v>
      </c>
      <c r="G15" s="10">
        <v>506368</v>
      </c>
      <c r="H15" s="10">
        <v>560944</v>
      </c>
      <c r="I15" s="10">
        <v>631605</v>
      </c>
      <c r="J15" s="10">
        <v>683705</v>
      </c>
      <c r="K15" s="10">
        <v>725775</v>
      </c>
      <c r="L15" s="10">
        <v>765549</v>
      </c>
      <c r="M15" s="10">
        <v>800988</v>
      </c>
      <c r="N15" s="10">
        <v>880274</v>
      </c>
      <c r="O15" s="10">
        <v>938164</v>
      </c>
      <c r="P15" s="10">
        <v>1002907</v>
      </c>
      <c r="Q15" s="10">
        <v>1004099</v>
      </c>
      <c r="R15" s="10">
        <v>999721</v>
      </c>
      <c r="S15" s="10">
        <v>956427</v>
      </c>
      <c r="T15" s="10">
        <v>950287</v>
      </c>
      <c r="U15" s="10">
        <v>951747</v>
      </c>
      <c r="V15" s="10">
        <v>962317</v>
      </c>
      <c r="W15" s="10">
        <v>978500</v>
      </c>
      <c r="X15" s="10">
        <v>1034418</v>
      </c>
      <c r="Y15" s="10">
        <v>1089716</v>
      </c>
      <c r="Z15" s="10">
        <v>1158615</v>
      </c>
      <c r="AA15" s="10">
        <v>1216363</v>
      </c>
      <c r="AB15" s="10">
        <v>1228998</v>
      </c>
    </row>
    <row r="17" spans="2:2" x14ac:dyDescent="0.35">
      <c r="B17" s="13" t="s">
        <v>271</v>
      </c>
    </row>
    <row r="18" spans="2:2" x14ac:dyDescent="0.35">
      <c r="B18" s="2" t="s">
        <v>272</v>
      </c>
    </row>
    <row r="19" spans="2:2" x14ac:dyDescent="0.35">
      <c r="B19" s="12"/>
    </row>
    <row r="25" spans="2:2" x14ac:dyDescent="0.35">
      <c r="B25" s="12"/>
    </row>
    <row r="27" spans="2:2" x14ac:dyDescent="0.35">
      <c r="B2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CC185-F1D5-47BC-940D-EEE15BF94A87}">
  <dimension ref="B2:AD59"/>
  <sheetViews>
    <sheetView workbookViewId="0">
      <pane xSplit="2" ySplit="5" topLeftCell="C31" activePane="bottomRight" state="frozen"/>
      <selection pane="topRight" activeCell="C1" sqref="C1"/>
      <selection pane="bottomLeft" activeCell="A6" sqref="A6"/>
      <selection pane="bottomRight" activeCell="B31" sqref="B31"/>
    </sheetView>
  </sheetViews>
  <sheetFormatPr defaultColWidth="8.7265625" defaultRowHeight="14.5" x14ac:dyDescent="0.35"/>
  <cols>
    <col min="1" max="1" width="8.7265625" style="2"/>
    <col min="2" max="2" width="65.7265625" style="2" bestFit="1" customWidth="1"/>
    <col min="3" max="8" width="8.7265625" style="2"/>
    <col min="9" max="19" width="9.26953125" style="2" bestFit="1" customWidth="1"/>
    <col min="20" max="27" width="10.26953125" style="2" bestFit="1" customWidth="1"/>
    <col min="28" max="16384" width="8.7265625" style="2"/>
  </cols>
  <sheetData>
    <row r="2" spans="2:28" x14ac:dyDescent="0.35">
      <c r="B2" s="1" t="s">
        <v>538</v>
      </c>
    </row>
    <row r="3" spans="2:28" x14ac:dyDescent="0.35">
      <c r="B3" s="3" t="s">
        <v>3</v>
      </c>
    </row>
    <row r="5" spans="2:28" x14ac:dyDescent="0.35">
      <c r="B5" s="5"/>
      <c r="C5" s="5">
        <v>1997</v>
      </c>
      <c r="D5" s="5">
        <v>1998</v>
      </c>
      <c r="E5" s="5">
        <v>1999</v>
      </c>
      <c r="F5" s="5">
        <v>2000</v>
      </c>
      <c r="G5" s="5">
        <v>2001</v>
      </c>
      <c r="H5" s="5">
        <v>2002</v>
      </c>
      <c r="I5" s="5">
        <v>2003</v>
      </c>
      <c r="J5" s="5">
        <v>2004</v>
      </c>
      <c r="K5" s="5">
        <v>2005</v>
      </c>
      <c r="L5" s="5">
        <v>2006</v>
      </c>
      <c r="M5" s="5">
        <v>2007</v>
      </c>
      <c r="N5" s="5">
        <v>2008</v>
      </c>
      <c r="O5" s="5">
        <v>2009</v>
      </c>
      <c r="P5" s="5">
        <v>2010</v>
      </c>
      <c r="Q5" s="5">
        <v>2011</v>
      </c>
      <c r="R5" s="5">
        <v>2012</v>
      </c>
      <c r="S5" s="5">
        <v>2013</v>
      </c>
      <c r="T5" s="5">
        <v>2014</v>
      </c>
      <c r="U5" s="5">
        <v>2015</v>
      </c>
      <c r="V5" s="5">
        <v>2016</v>
      </c>
      <c r="W5" s="5">
        <v>2017</v>
      </c>
      <c r="X5" s="5">
        <v>2018</v>
      </c>
      <c r="Y5" s="5">
        <v>2019</v>
      </c>
      <c r="Z5" s="5">
        <v>2020</v>
      </c>
      <c r="AA5" s="5">
        <v>2021</v>
      </c>
      <c r="AB5" s="5">
        <v>2022</v>
      </c>
    </row>
    <row r="6" spans="2:28" x14ac:dyDescent="0.35">
      <c r="B6" s="2" t="s">
        <v>294</v>
      </c>
      <c r="C6" s="36">
        <v>3693.7370000000001</v>
      </c>
      <c r="D6" s="36">
        <v>3766.2510000000002</v>
      </c>
      <c r="E6" s="36">
        <v>3922.1819999999998</v>
      </c>
      <c r="F6" s="36">
        <v>4130.1689999999999</v>
      </c>
      <c r="G6" s="36">
        <v>4450.3710000000001</v>
      </c>
      <c r="H6" s="36">
        <v>4807.0709999999999</v>
      </c>
      <c r="I6" s="36">
        <v>4962.9160000000002</v>
      </c>
      <c r="J6" s="36">
        <v>5291.6220000000003</v>
      </c>
      <c r="K6" s="36">
        <v>5727.3059999999996</v>
      </c>
      <c r="L6" s="36">
        <v>6041.7209999999995</v>
      </c>
      <c r="M6" s="36">
        <v>6636.6049999999996</v>
      </c>
      <c r="N6" s="36">
        <v>7726.7430000000004</v>
      </c>
      <c r="O6" s="36">
        <v>8293.7199999999993</v>
      </c>
      <c r="P6" s="36">
        <v>9287.3269999999993</v>
      </c>
      <c r="Q6" s="36">
        <v>9653.0679999999993</v>
      </c>
      <c r="R6" s="36">
        <v>9514.4740000000002</v>
      </c>
      <c r="S6" s="36">
        <v>9866.1620000000003</v>
      </c>
      <c r="T6" s="36">
        <v>10614.748</v>
      </c>
      <c r="U6" s="36">
        <v>11031.460999999999</v>
      </c>
      <c r="V6" s="36">
        <v>11493.977000000001</v>
      </c>
      <c r="W6" s="36">
        <v>11960.303</v>
      </c>
      <c r="X6" s="36">
        <v>12171.922</v>
      </c>
      <c r="Y6" s="36">
        <v>12751.2</v>
      </c>
      <c r="Z6" s="36">
        <v>19390.078000000001</v>
      </c>
      <c r="AA6" s="36">
        <v>20387.246999999999</v>
      </c>
      <c r="AB6" s="36">
        <v>16928.001</v>
      </c>
    </row>
    <row r="7" spans="2:28" x14ac:dyDescent="0.35">
      <c r="B7" s="2" t="s">
        <v>295</v>
      </c>
      <c r="C7" s="36">
        <v>3566.0120000000002</v>
      </c>
      <c r="D7" s="36">
        <v>3609.3319999999999</v>
      </c>
      <c r="E7" s="36">
        <v>3730.6120000000001</v>
      </c>
      <c r="F7" s="36">
        <v>3902.2040000000002</v>
      </c>
      <c r="G7" s="36">
        <v>4188.2389999999996</v>
      </c>
      <c r="H7" s="36">
        <v>4592.5889999999999</v>
      </c>
      <c r="I7" s="36">
        <v>4777.6499999999996</v>
      </c>
      <c r="J7" s="36">
        <v>5143.7529999999997</v>
      </c>
      <c r="K7" s="36">
        <v>5538.7389999999996</v>
      </c>
      <c r="L7" s="36">
        <v>5873.0479999999998</v>
      </c>
      <c r="M7" s="36">
        <v>6425.3530000000001</v>
      </c>
      <c r="N7" s="36">
        <v>7487.5789999999997</v>
      </c>
      <c r="O7" s="36">
        <v>8033.25</v>
      </c>
      <c r="P7" s="36">
        <v>9006.0110000000004</v>
      </c>
      <c r="Q7" s="36">
        <v>9348.1560000000009</v>
      </c>
      <c r="R7" s="36">
        <v>9237.9050000000007</v>
      </c>
      <c r="S7" s="36">
        <v>9593.07</v>
      </c>
      <c r="T7" s="36">
        <v>10320.263999999999</v>
      </c>
      <c r="U7" s="36">
        <v>10705.129000000001</v>
      </c>
      <c r="V7" s="36">
        <v>11124.133</v>
      </c>
      <c r="W7" s="36">
        <v>11643.421</v>
      </c>
      <c r="X7" s="36">
        <v>11843.556</v>
      </c>
      <c r="Y7" s="36">
        <v>12393.1</v>
      </c>
      <c r="Z7" s="36">
        <v>18614.643</v>
      </c>
      <c r="AA7" s="36">
        <v>19687.101999999999</v>
      </c>
      <c r="AB7" s="36">
        <v>16181.467000000001</v>
      </c>
    </row>
    <row r="8" spans="2:28" x14ac:dyDescent="0.35">
      <c r="B8" s="6" t="s">
        <v>296</v>
      </c>
      <c r="C8" s="36">
        <v>1409.498</v>
      </c>
      <c r="D8" s="36">
        <v>1478.019</v>
      </c>
      <c r="E8" s="36">
        <v>1542.3879999999999</v>
      </c>
      <c r="F8" s="36">
        <v>1652.0160000000001</v>
      </c>
      <c r="G8" s="36">
        <v>1776.396</v>
      </c>
      <c r="H8" s="36">
        <v>1888.606</v>
      </c>
      <c r="I8" s="36">
        <v>1972.4829999999999</v>
      </c>
      <c r="J8" s="36">
        <v>2075.4920000000002</v>
      </c>
      <c r="K8" s="36">
        <v>2206.8380000000002</v>
      </c>
      <c r="L8" s="36">
        <v>2330.627</v>
      </c>
      <c r="M8" s="36">
        <v>2474.471</v>
      </c>
      <c r="N8" s="36">
        <v>2610.5419999999999</v>
      </c>
      <c r="O8" s="36">
        <v>2862.538</v>
      </c>
      <c r="P8" s="36">
        <v>2989.8679999999999</v>
      </c>
      <c r="Q8" s="36">
        <v>3107.4229999999998</v>
      </c>
      <c r="R8" s="36">
        <v>3328.2649999999999</v>
      </c>
      <c r="S8" s="36">
        <v>3495.614</v>
      </c>
      <c r="T8" s="36">
        <v>3671.8670000000002</v>
      </c>
      <c r="U8" s="36">
        <v>3854.748</v>
      </c>
      <c r="V8" s="36">
        <v>3958.7150000000001</v>
      </c>
      <c r="W8" s="36">
        <v>4088.444</v>
      </c>
      <c r="X8" s="36">
        <v>4306.2309999999998</v>
      </c>
      <c r="Y8" s="36">
        <v>4581.616</v>
      </c>
      <c r="Z8" s="36">
        <v>4828.4449999999997</v>
      </c>
      <c r="AA8" s="36">
        <v>5046.24</v>
      </c>
      <c r="AB8" s="36">
        <v>5517.7290000000003</v>
      </c>
    </row>
    <row r="9" spans="2:28" x14ac:dyDescent="0.35">
      <c r="B9" s="8" t="s">
        <v>297</v>
      </c>
      <c r="C9" s="36">
        <v>1385.873</v>
      </c>
      <c r="D9" s="36">
        <v>1454.7840000000001</v>
      </c>
      <c r="E9" s="36">
        <v>1518.33</v>
      </c>
      <c r="F9" s="36">
        <v>1629.249</v>
      </c>
      <c r="G9" s="36">
        <v>1751.6610000000001</v>
      </c>
      <c r="H9" s="36">
        <v>1857.2190000000001</v>
      </c>
      <c r="I9" s="36">
        <v>1940.039</v>
      </c>
      <c r="J9" s="36">
        <v>2040.4580000000001</v>
      </c>
      <c r="K9" s="36">
        <v>2164.1680000000001</v>
      </c>
      <c r="L9" s="36">
        <v>2278.5039999999999</v>
      </c>
      <c r="M9" s="36">
        <v>2422.5219999999999</v>
      </c>
      <c r="N9" s="36">
        <v>2557.752</v>
      </c>
      <c r="O9" s="36">
        <v>2814.056</v>
      </c>
      <c r="P9" s="36">
        <v>2941.2420000000002</v>
      </c>
      <c r="Q9" s="36">
        <v>3057.261</v>
      </c>
      <c r="R9" s="36">
        <v>3277.4180000000001</v>
      </c>
      <c r="S9" s="36">
        <v>3448.6860000000001</v>
      </c>
      <c r="T9" s="36">
        <v>3614.0450000000001</v>
      </c>
      <c r="U9" s="36">
        <v>3790.203</v>
      </c>
      <c r="V9" s="36">
        <v>3910.4009999999998</v>
      </c>
      <c r="W9" s="36">
        <v>4049.0729999999999</v>
      </c>
      <c r="X9" s="36">
        <v>4266.6790000000001</v>
      </c>
      <c r="Y9" s="36">
        <v>4541.75</v>
      </c>
      <c r="Z9" s="36">
        <v>4784.652</v>
      </c>
      <c r="AA9" s="36">
        <v>4994.4840000000004</v>
      </c>
      <c r="AB9" s="36">
        <v>5466.04</v>
      </c>
    </row>
    <row r="10" spans="2:28" x14ac:dyDescent="0.35">
      <c r="B10" s="8" t="s">
        <v>298</v>
      </c>
      <c r="C10" s="36">
        <v>23.625</v>
      </c>
      <c r="D10" s="36">
        <v>23.234999999999999</v>
      </c>
      <c r="E10" s="36">
        <v>24.058</v>
      </c>
      <c r="F10" s="36">
        <v>22.766999999999999</v>
      </c>
      <c r="G10" s="36">
        <v>24.734999999999999</v>
      </c>
      <c r="H10" s="36">
        <v>31.387</v>
      </c>
      <c r="I10" s="36">
        <v>32.444000000000003</v>
      </c>
      <c r="J10" s="36">
        <v>35.033999999999999</v>
      </c>
      <c r="K10" s="36">
        <v>42.67</v>
      </c>
      <c r="L10" s="36">
        <v>52.122999999999998</v>
      </c>
      <c r="M10" s="36">
        <v>51.948999999999998</v>
      </c>
      <c r="N10" s="36">
        <v>52.79</v>
      </c>
      <c r="O10" s="36">
        <v>48.481999999999999</v>
      </c>
      <c r="P10" s="36">
        <v>48.625999999999998</v>
      </c>
      <c r="Q10" s="36">
        <v>50.161999999999999</v>
      </c>
      <c r="R10" s="36">
        <v>50.847000000000001</v>
      </c>
      <c r="S10" s="36">
        <v>46.927999999999997</v>
      </c>
      <c r="T10" s="36">
        <v>57.822000000000003</v>
      </c>
      <c r="U10" s="36">
        <v>64.545000000000002</v>
      </c>
      <c r="V10" s="36">
        <v>48.314</v>
      </c>
      <c r="W10" s="36">
        <v>39.371000000000002</v>
      </c>
      <c r="X10" s="36">
        <v>39.552</v>
      </c>
      <c r="Y10" s="36">
        <v>39.866</v>
      </c>
      <c r="Z10" s="36">
        <v>43.792999999999999</v>
      </c>
      <c r="AA10" s="36">
        <v>51.756</v>
      </c>
      <c r="AB10" s="36">
        <v>51.689</v>
      </c>
    </row>
    <row r="11" spans="2:28" x14ac:dyDescent="0.35">
      <c r="B11" s="20" t="s">
        <v>299</v>
      </c>
      <c r="C11" s="36">
        <v>2.2029999999999998</v>
      </c>
      <c r="D11" s="36">
        <v>2.1339999999999999</v>
      </c>
      <c r="E11" s="36">
        <v>2.1440000000000001</v>
      </c>
      <c r="F11" s="36">
        <v>2.2000000000000002</v>
      </c>
      <c r="G11" s="36">
        <v>2.2629999999999999</v>
      </c>
      <c r="H11" s="36">
        <v>2.375</v>
      </c>
      <c r="I11" s="36">
        <v>2.419</v>
      </c>
      <c r="J11" s="36">
        <v>2.556</v>
      </c>
      <c r="K11" s="36">
        <v>2.6160000000000001</v>
      </c>
      <c r="L11" s="36">
        <v>2.71</v>
      </c>
      <c r="M11" s="36">
        <v>2.714</v>
      </c>
      <c r="N11" s="36">
        <v>2.73</v>
      </c>
      <c r="O11" s="36">
        <v>2.8660000000000001</v>
      </c>
      <c r="P11" s="36">
        <v>2.7709999999999999</v>
      </c>
      <c r="Q11" s="36">
        <v>2.8929999999999998</v>
      </c>
      <c r="R11" s="36">
        <v>3.09</v>
      </c>
      <c r="S11" s="36">
        <v>3.17</v>
      </c>
      <c r="T11" s="36">
        <v>3.375</v>
      </c>
      <c r="U11" s="36">
        <v>3.4350000000000001</v>
      </c>
      <c r="V11" s="36">
        <v>3.3879999999999999</v>
      </c>
      <c r="W11" s="36">
        <v>3.2330000000000001</v>
      </c>
      <c r="X11" s="36">
        <v>3.2839999999999998</v>
      </c>
      <c r="Y11" s="36">
        <v>3.2959999999999998</v>
      </c>
      <c r="Z11" s="36">
        <v>3.3690000000000002</v>
      </c>
      <c r="AA11" s="36">
        <v>3.73</v>
      </c>
      <c r="AB11" s="36">
        <v>4.18</v>
      </c>
    </row>
    <row r="12" spans="2:28" x14ac:dyDescent="0.35">
      <c r="B12" s="20" t="s">
        <v>166</v>
      </c>
      <c r="C12" s="36">
        <v>18.998000000000001</v>
      </c>
      <c r="D12" s="36">
        <v>18.457999999999998</v>
      </c>
      <c r="E12" s="36">
        <v>18.300999999999998</v>
      </c>
      <c r="F12" s="36">
        <v>18.893000000000001</v>
      </c>
      <c r="G12" s="36">
        <v>20.867000000000001</v>
      </c>
      <c r="H12" s="36">
        <v>24.869</v>
      </c>
      <c r="I12" s="36">
        <v>25.295999999999999</v>
      </c>
      <c r="J12" s="36">
        <v>27.324999999999999</v>
      </c>
      <c r="K12" s="36">
        <v>30.831</v>
      </c>
      <c r="L12" s="36">
        <v>31.427</v>
      </c>
      <c r="M12" s="36">
        <v>31.69</v>
      </c>
      <c r="N12" s="36">
        <v>30.431999999999999</v>
      </c>
      <c r="O12" s="36">
        <v>27.231999999999999</v>
      </c>
      <c r="P12" s="36">
        <v>27.518999999999998</v>
      </c>
      <c r="Q12" s="36">
        <v>28.902000000000001</v>
      </c>
      <c r="R12" s="36">
        <v>29.515999999999998</v>
      </c>
      <c r="S12" s="36">
        <v>30.026</v>
      </c>
      <c r="T12" s="36">
        <v>30.738</v>
      </c>
      <c r="U12" s="36">
        <v>30.646999999999998</v>
      </c>
      <c r="V12" s="36">
        <v>31.31</v>
      </c>
      <c r="W12" s="36">
        <v>29.558</v>
      </c>
      <c r="X12" s="36">
        <v>31.135999999999999</v>
      </c>
      <c r="Y12" s="36">
        <v>31.443000000000001</v>
      </c>
      <c r="Z12" s="36">
        <v>31.959</v>
      </c>
      <c r="AA12" s="36">
        <v>32.524999999999999</v>
      </c>
      <c r="AB12" s="36">
        <v>34.968000000000004</v>
      </c>
    </row>
    <row r="13" spans="2:28" x14ac:dyDescent="0.35">
      <c r="B13" s="20" t="s">
        <v>300</v>
      </c>
      <c r="C13" s="36">
        <v>2.4239999999999999</v>
      </c>
      <c r="D13" s="36">
        <v>2.6429999999999998</v>
      </c>
      <c r="E13" s="36">
        <v>3.613</v>
      </c>
      <c r="F13" s="36">
        <v>1.6739999999999999</v>
      </c>
      <c r="G13" s="36">
        <v>1.605</v>
      </c>
      <c r="H13" s="36">
        <v>4.1429999999999998</v>
      </c>
      <c r="I13" s="36">
        <v>4.7290000000000001</v>
      </c>
      <c r="J13" s="36">
        <v>5.1529999999999996</v>
      </c>
      <c r="K13" s="36">
        <v>9.2230000000000008</v>
      </c>
      <c r="L13" s="36">
        <v>17.986000000000001</v>
      </c>
      <c r="M13" s="36">
        <v>17.545000000000002</v>
      </c>
      <c r="N13" s="36">
        <v>19.628</v>
      </c>
      <c r="O13" s="36">
        <v>18.384</v>
      </c>
      <c r="P13" s="36">
        <v>18.335999999999999</v>
      </c>
      <c r="Q13" s="36">
        <v>18.367000000000001</v>
      </c>
      <c r="R13" s="36">
        <v>18.241</v>
      </c>
      <c r="S13" s="36">
        <v>13.731999999999999</v>
      </c>
      <c r="T13" s="36">
        <v>23.709</v>
      </c>
      <c r="U13" s="36">
        <v>30.463000000000001</v>
      </c>
      <c r="V13" s="36">
        <v>13.616</v>
      </c>
      <c r="W13" s="36">
        <v>6.58</v>
      </c>
      <c r="X13" s="36">
        <v>5.1319999999999997</v>
      </c>
      <c r="Y13" s="36">
        <v>5.1269999999999998</v>
      </c>
      <c r="Z13" s="36">
        <v>8.4649999999999999</v>
      </c>
      <c r="AA13" s="36">
        <v>15.500999999999999</v>
      </c>
      <c r="AB13" s="36">
        <v>12.541</v>
      </c>
    </row>
    <row r="14" spans="2:28" x14ac:dyDescent="0.35">
      <c r="B14" s="6" t="s">
        <v>301</v>
      </c>
      <c r="C14" s="36">
        <v>1280.0419999999999</v>
      </c>
      <c r="D14" s="36">
        <v>1224.9449999999999</v>
      </c>
      <c r="E14" s="36">
        <v>1289.376</v>
      </c>
      <c r="F14" s="36">
        <v>1384.627</v>
      </c>
      <c r="G14" s="36">
        <v>1515.634</v>
      </c>
      <c r="H14" s="36">
        <v>1683.595</v>
      </c>
      <c r="I14" s="36">
        <v>1800.6</v>
      </c>
      <c r="J14" s="36">
        <v>2046.34</v>
      </c>
      <c r="K14" s="36">
        <v>2264.5500000000002</v>
      </c>
      <c r="L14" s="36">
        <v>2421.6390000000001</v>
      </c>
      <c r="M14" s="36">
        <v>2743.1579999999999</v>
      </c>
      <c r="N14" s="36">
        <v>2955.9050000000002</v>
      </c>
      <c r="O14" s="36">
        <v>3061.5540000000001</v>
      </c>
      <c r="P14" s="36">
        <v>3406.0909999999999</v>
      </c>
      <c r="Q14" s="36">
        <v>3675.3580000000002</v>
      </c>
      <c r="R14" s="36">
        <v>3567.0859999999998</v>
      </c>
      <c r="S14" s="36">
        <v>3770.4760000000001</v>
      </c>
      <c r="T14" s="36">
        <v>4368.3069999999998</v>
      </c>
      <c r="U14" s="36">
        <v>4531.0129999999999</v>
      </c>
      <c r="V14" s="36">
        <v>4852.3239999999996</v>
      </c>
      <c r="W14" s="36">
        <v>5114.0150000000003</v>
      </c>
      <c r="X14" s="36">
        <v>5106.1220000000003</v>
      </c>
      <c r="Y14" s="36">
        <v>5306.5870000000004</v>
      </c>
      <c r="Z14" s="36">
        <v>5706.4549999999999</v>
      </c>
      <c r="AA14" s="36">
        <v>6407.2280000000001</v>
      </c>
      <c r="AB14" s="36">
        <v>6832.348</v>
      </c>
    </row>
    <row r="15" spans="2:28" x14ac:dyDescent="0.35">
      <c r="B15" s="8" t="s">
        <v>287</v>
      </c>
      <c r="C15" s="36">
        <v>638.37300000000005</v>
      </c>
      <c r="D15" s="36">
        <v>630.84500000000003</v>
      </c>
      <c r="E15" s="36">
        <v>669.58399999999995</v>
      </c>
      <c r="F15" s="36">
        <v>725.97900000000004</v>
      </c>
      <c r="G15" s="36">
        <v>839.149</v>
      </c>
      <c r="H15" s="36">
        <v>896.88699999999994</v>
      </c>
      <c r="I15" s="36">
        <v>937.952</v>
      </c>
      <c r="J15" s="36">
        <v>1009.647</v>
      </c>
      <c r="K15" s="36">
        <v>1068.508</v>
      </c>
      <c r="L15" s="36">
        <v>1305.818</v>
      </c>
      <c r="M15" s="36">
        <v>1442.442</v>
      </c>
      <c r="N15" s="36">
        <v>1583.076</v>
      </c>
      <c r="O15" s="36">
        <v>1700.944</v>
      </c>
      <c r="P15" s="36">
        <v>1784.2539999999999</v>
      </c>
      <c r="Q15" s="36">
        <v>1870.22</v>
      </c>
      <c r="R15" s="36">
        <v>1928.549</v>
      </c>
      <c r="S15" s="36">
        <v>1983.8420000000001</v>
      </c>
      <c r="T15" s="36">
        <v>2181.3470000000002</v>
      </c>
      <c r="U15" s="36">
        <v>2330.4029999999998</v>
      </c>
      <c r="V15" s="36">
        <v>2459.2719999999999</v>
      </c>
      <c r="W15" s="36">
        <v>2541.8870000000002</v>
      </c>
      <c r="X15" s="36">
        <v>2695.5279999999998</v>
      </c>
      <c r="Y15" s="36">
        <v>2910.73</v>
      </c>
      <c r="Z15" s="36">
        <v>3058.4110000000001</v>
      </c>
      <c r="AA15" s="36">
        <v>3292.4430000000002</v>
      </c>
      <c r="AB15" s="36">
        <v>3477.8240000000001</v>
      </c>
    </row>
    <row r="16" spans="2:28" x14ac:dyDescent="0.35">
      <c r="B16" s="8" t="s">
        <v>302</v>
      </c>
      <c r="C16" s="36">
        <v>626.44299999999998</v>
      </c>
      <c r="D16" s="36">
        <v>578.14200000000005</v>
      </c>
      <c r="E16" s="36">
        <v>603.39400000000001</v>
      </c>
      <c r="F16" s="36">
        <v>640.39499999999998</v>
      </c>
      <c r="G16" s="36">
        <v>654.64099999999996</v>
      </c>
      <c r="H16" s="36">
        <v>762.04200000000003</v>
      </c>
      <c r="I16" s="36">
        <v>833.82100000000003</v>
      </c>
      <c r="J16" s="36">
        <v>1001.194</v>
      </c>
      <c r="K16" s="36">
        <v>1138.925</v>
      </c>
      <c r="L16" s="36">
        <v>1045.835</v>
      </c>
      <c r="M16" s="36">
        <v>1225.1880000000001</v>
      </c>
      <c r="N16" s="36">
        <v>1288.6099999999999</v>
      </c>
      <c r="O16" s="36">
        <v>1266.421</v>
      </c>
      <c r="P16" s="36">
        <v>1524.59</v>
      </c>
      <c r="Q16" s="36">
        <v>1703.76</v>
      </c>
      <c r="R16" s="36">
        <v>1531.7</v>
      </c>
      <c r="S16" s="36">
        <v>1689.6010000000001</v>
      </c>
      <c r="T16" s="36">
        <v>2083.7539999999999</v>
      </c>
      <c r="U16" s="36">
        <v>2084.4</v>
      </c>
      <c r="V16" s="36">
        <v>2275.9479999999999</v>
      </c>
      <c r="W16" s="36">
        <v>2456.8820000000001</v>
      </c>
      <c r="X16" s="36">
        <v>2302.2240000000002</v>
      </c>
      <c r="Y16" s="36">
        <v>2276.6770000000001</v>
      </c>
      <c r="Z16" s="36">
        <v>2522.2469999999998</v>
      </c>
      <c r="AA16" s="36">
        <v>2966.665</v>
      </c>
      <c r="AB16" s="36">
        <v>3194.415</v>
      </c>
    </row>
    <row r="17" spans="2:30" x14ac:dyDescent="0.35">
      <c r="B17" s="20" t="s">
        <v>288</v>
      </c>
      <c r="C17" s="36">
        <v>626.44299999999998</v>
      </c>
      <c r="D17" s="36">
        <v>578.14200000000005</v>
      </c>
      <c r="E17" s="36">
        <v>603.39400000000001</v>
      </c>
      <c r="F17" s="36">
        <v>640.39499999999998</v>
      </c>
      <c r="G17" s="36">
        <v>654.64099999999996</v>
      </c>
      <c r="H17" s="36">
        <v>746.43899999999996</v>
      </c>
      <c r="I17" s="36">
        <v>809.77499999999998</v>
      </c>
      <c r="J17" s="36">
        <v>976.88300000000004</v>
      </c>
      <c r="K17" s="36">
        <v>1106.162</v>
      </c>
      <c r="L17" s="36">
        <v>1005.95</v>
      </c>
      <c r="M17" s="36">
        <v>1184.4000000000001</v>
      </c>
      <c r="N17" s="36">
        <v>1248.7860000000001</v>
      </c>
      <c r="O17" s="36">
        <v>1217.1869999999999</v>
      </c>
      <c r="P17" s="36">
        <v>1490.6179999999999</v>
      </c>
      <c r="Q17" s="36">
        <v>1662.672</v>
      </c>
      <c r="R17" s="36">
        <v>1471.5709999999999</v>
      </c>
      <c r="S17" s="36">
        <v>1641.202</v>
      </c>
      <c r="T17" s="36">
        <v>2026.6510000000001</v>
      </c>
      <c r="U17" s="36">
        <v>2054.9479999999999</v>
      </c>
      <c r="V17" s="36">
        <v>2245.8389999999999</v>
      </c>
      <c r="W17" s="36">
        <v>2418.2089999999998</v>
      </c>
      <c r="X17" s="36">
        <v>2216.65</v>
      </c>
      <c r="Y17" s="36">
        <v>2201.7550000000001</v>
      </c>
      <c r="Z17" s="36">
        <v>2445.38</v>
      </c>
      <c r="AA17" s="36">
        <v>2886.9319999999998</v>
      </c>
      <c r="AB17" s="36">
        <v>3112.0619999999999</v>
      </c>
    </row>
    <row r="18" spans="2:30" x14ac:dyDescent="0.35">
      <c r="B18" s="20" t="s">
        <v>293</v>
      </c>
      <c r="C18" s="36">
        <v>0</v>
      </c>
      <c r="D18" s="36">
        <v>0</v>
      </c>
      <c r="E18" s="36">
        <v>0</v>
      </c>
      <c r="F18" s="36">
        <v>0</v>
      </c>
      <c r="G18" s="36">
        <v>0</v>
      </c>
      <c r="H18" s="36">
        <v>15.603</v>
      </c>
      <c r="I18" s="36">
        <v>24.045999999999999</v>
      </c>
      <c r="J18" s="36">
        <v>24.311</v>
      </c>
      <c r="K18" s="36">
        <v>32.762999999999998</v>
      </c>
      <c r="L18" s="36">
        <v>39.884999999999998</v>
      </c>
      <c r="M18" s="36">
        <v>40.787999999999997</v>
      </c>
      <c r="N18" s="36">
        <v>39.823999999999998</v>
      </c>
      <c r="O18" s="36">
        <v>49.234000000000002</v>
      </c>
      <c r="P18" s="36">
        <v>33.972000000000001</v>
      </c>
      <c r="Q18" s="36">
        <v>41.088000000000001</v>
      </c>
      <c r="R18" s="36">
        <v>60.128999999999998</v>
      </c>
      <c r="S18" s="36">
        <v>48.399000000000001</v>
      </c>
      <c r="T18" s="36">
        <v>57.103000000000002</v>
      </c>
      <c r="U18" s="36">
        <v>29.452000000000002</v>
      </c>
      <c r="V18" s="36">
        <v>30.109000000000002</v>
      </c>
      <c r="W18" s="36">
        <v>38.673000000000002</v>
      </c>
      <c r="X18" s="36">
        <v>85.573999999999998</v>
      </c>
      <c r="Y18" s="36">
        <v>74.921999999999997</v>
      </c>
      <c r="Z18" s="36">
        <v>76.867000000000004</v>
      </c>
      <c r="AA18" s="36">
        <v>79.733000000000004</v>
      </c>
      <c r="AB18" s="36">
        <v>82.352999999999994</v>
      </c>
    </row>
    <row r="19" spans="2:30" x14ac:dyDescent="0.35">
      <c r="B19" s="8" t="s">
        <v>303</v>
      </c>
      <c r="C19" s="36">
        <v>15.226000000000001</v>
      </c>
      <c r="D19" s="36">
        <v>15.958</v>
      </c>
      <c r="E19" s="36">
        <v>16.398</v>
      </c>
      <c r="F19" s="36">
        <v>18.253</v>
      </c>
      <c r="G19" s="36">
        <v>21.844000000000001</v>
      </c>
      <c r="H19" s="36">
        <v>24.666</v>
      </c>
      <c r="I19" s="36">
        <v>28.827000000000002</v>
      </c>
      <c r="J19" s="36">
        <v>35.499000000000002</v>
      </c>
      <c r="K19" s="36">
        <v>57.116999999999997</v>
      </c>
      <c r="L19" s="36">
        <v>69.986000000000004</v>
      </c>
      <c r="M19" s="36">
        <v>75.528000000000006</v>
      </c>
      <c r="N19" s="36">
        <v>84.218999999999994</v>
      </c>
      <c r="O19" s="36">
        <v>94.188999999999993</v>
      </c>
      <c r="P19" s="36">
        <v>97.247</v>
      </c>
      <c r="Q19" s="36">
        <v>101.378</v>
      </c>
      <c r="R19" s="36">
        <v>106.837</v>
      </c>
      <c r="S19" s="36">
        <v>97.033000000000001</v>
      </c>
      <c r="T19" s="36">
        <v>103.206</v>
      </c>
      <c r="U19" s="36">
        <v>116.21</v>
      </c>
      <c r="V19" s="36">
        <v>117.104</v>
      </c>
      <c r="W19" s="36">
        <v>115.246</v>
      </c>
      <c r="X19" s="36">
        <v>108.37</v>
      </c>
      <c r="Y19" s="36">
        <v>119.18</v>
      </c>
      <c r="Z19" s="36">
        <v>125.797</v>
      </c>
      <c r="AA19" s="36">
        <v>148.12</v>
      </c>
      <c r="AB19" s="36">
        <v>160.10900000000001</v>
      </c>
    </row>
    <row r="20" spans="2:30" x14ac:dyDescent="0.35">
      <c r="B20" s="6" t="s">
        <v>20</v>
      </c>
      <c r="C20" s="36">
        <v>560.57600000000002</v>
      </c>
      <c r="D20" s="36">
        <v>593.74800000000005</v>
      </c>
      <c r="E20" s="36">
        <v>593.62800000000004</v>
      </c>
      <c r="F20" s="36">
        <v>582.39</v>
      </c>
      <c r="G20" s="36">
        <v>553.91999999999996</v>
      </c>
      <c r="H20" s="36">
        <v>604</v>
      </c>
      <c r="I20" s="36">
        <v>603.98599999999999</v>
      </c>
      <c r="J20" s="36">
        <v>643.24400000000003</v>
      </c>
      <c r="K20" s="36">
        <v>709.78099999999995</v>
      </c>
      <c r="L20" s="36">
        <v>742.32500000000005</v>
      </c>
      <c r="M20" s="36">
        <v>795.80700000000002</v>
      </c>
      <c r="N20" s="36">
        <v>898.52499999999998</v>
      </c>
      <c r="O20" s="36">
        <v>1045.3399999999999</v>
      </c>
      <c r="P20" s="36">
        <v>1173.08</v>
      </c>
      <c r="Q20" s="36">
        <v>1229.1089999999999</v>
      </c>
      <c r="R20" s="36">
        <v>1243.42</v>
      </c>
      <c r="S20" s="36">
        <v>1306.193</v>
      </c>
      <c r="T20" s="36">
        <v>1315.1669999999999</v>
      </c>
      <c r="U20" s="36">
        <v>1284.1569999999999</v>
      </c>
      <c r="V20" s="36">
        <v>1232.287</v>
      </c>
      <c r="W20" s="36">
        <v>1194.6300000000001</v>
      </c>
      <c r="X20" s="36">
        <v>1146.3689999999999</v>
      </c>
      <c r="Y20" s="36">
        <v>1159.365</v>
      </c>
      <c r="Z20" s="36">
        <v>1448.788</v>
      </c>
      <c r="AA20" s="36">
        <v>2165.9989999999998</v>
      </c>
      <c r="AB20" s="36">
        <v>2200.904</v>
      </c>
      <c r="AD20" s="6" t="s">
        <v>20</v>
      </c>
    </row>
    <row r="21" spans="2:30" x14ac:dyDescent="0.35">
      <c r="B21" s="8" t="s">
        <v>304</v>
      </c>
      <c r="C21" s="36">
        <v>89.378</v>
      </c>
      <c r="D21" s="36">
        <v>94.32</v>
      </c>
      <c r="E21" s="36">
        <v>97.948999999999998</v>
      </c>
      <c r="F21" s="36">
        <v>103.94199999999999</v>
      </c>
      <c r="G21" s="36">
        <v>106.95699999999999</v>
      </c>
      <c r="H21" s="36">
        <v>110.91500000000001</v>
      </c>
      <c r="I21" s="36">
        <v>112.747</v>
      </c>
      <c r="J21" s="36">
        <v>117.104</v>
      </c>
      <c r="K21" s="36">
        <v>119.285</v>
      </c>
      <c r="L21" s="36">
        <v>125.443</v>
      </c>
      <c r="M21" s="36">
        <v>134.51900000000001</v>
      </c>
      <c r="N21" s="36">
        <v>138.589</v>
      </c>
      <c r="O21" s="36">
        <v>151.21799999999999</v>
      </c>
      <c r="P21" s="36">
        <v>155.75200000000001</v>
      </c>
      <c r="Q21" s="36">
        <v>159.89500000000001</v>
      </c>
      <c r="R21" s="36">
        <v>167.018</v>
      </c>
      <c r="S21" s="36">
        <v>168.64099999999999</v>
      </c>
      <c r="T21" s="36">
        <v>168.96700000000001</v>
      </c>
      <c r="U21" s="36">
        <v>171.16200000000001</v>
      </c>
      <c r="V21" s="36">
        <v>168.30799999999999</v>
      </c>
      <c r="W21" s="36">
        <v>164.798</v>
      </c>
      <c r="X21" s="36">
        <v>163.10900000000001</v>
      </c>
      <c r="Y21" s="36">
        <v>164.99600000000001</v>
      </c>
      <c r="Z21" s="36">
        <v>160.78200000000001</v>
      </c>
      <c r="AA21" s="36">
        <v>157.02099999999999</v>
      </c>
      <c r="AB21" s="36">
        <v>165.19399999999999</v>
      </c>
    </row>
    <row r="22" spans="2:30" x14ac:dyDescent="0.35">
      <c r="B22" s="8" t="s">
        <v>305</v>
      </c>
      <c r="C22" s="36">
        <v>71.028999999999996</v>
      </c>
      <c r="D22" s="36">
        <v>79.349000000000004</v>
      </c>
      <c r="E22" s="36">
        <v>86.576999999999998</v>
      </c>
      <c r="F22" s="36">
        <v>88.73</v>
      </c>
      <c r="G22" s="36">
        <v>89.896000000000001</v>
      </c>
      <c r="H22" s="36">
        <v>99.423000000000002</v>
      </c>
      <c r="I22" s="36">
        <v>123.989</v>
      </c>
      <c r="J22" s="36">
        <v>127.965</v>
      </c>
      <c r="K22" s="36">
        <v>136.52600000000001</v>
      </c>
      <c r="L22" s="36">
        <v>138.62</v>
      </c>
      <c r="M22" s="36">
        <v>148.08799999999999</v>
      </c>
      <c r="N22" s="36">
        <v>157.89599999999999</v>
      </c>
      <c r="O22" s="36">
        <v>166.404</v>
      </c>
      <c r="P22" s="36">
        <v>213.43199999999999</v>
      </c>
      <c r="Q22" s="36">
        <v>224.137</v>
      </c>
      <c r="R22" s="36">
        <v>234.078</v>
      </c>
      <c r="S22" s="36">
        <v>245.459</v>
      </c>
      <c r="T22" s="36">
        <v>253.71199999999999</v>
      </c>
      <c r="U22" s="36">
        <v>253.73500000000001</v>
      </c>
      <c r="V22" s="36">
        <v>247.905</v>
      </c>
      <c r="W22" s="36">
        <v>234.87100000000001</v>
      </c>
      <c r="X22" s="36">
        <v>225.977</v>
      </c>
      <c r="Y22" s="36">
        <v>221.65299999999999</v>
      </c>
      <c r="Z22" s="36">
        <v>220.65799999999999</v>
      </c>
      <c r="AA22" s="36">
        <v>211.477</v>
      </c>
      <c r="AB22" s="36">
        <v>224.17400000000001</v>
      </c>
    </row>
    <row r="23" spans="2:30" x14ac:dyDescent="0.35">
      <c r="B23" s="8" t="s">
        <v>306</v>
      </c>
      <c r="C23" s="36">
        <v>185.273</v>
      </c>
      <c r="D23" s="36">
        <v>178.70400000000001</v>
      </c>
      <c r="E23" s="36">
        <v>178.12899999999999</v>
      </c>
      <c r="F23" s="36">
        <v>158.16999999999999</v>
      </c>
      <c r="G23" s="36">
        <v>148.53</v>
      </c>
      <c r="H23" s="36">
        <v>152.06899999999999</v>
      </c>
      <c r="I23" s="36">
        <v>155.571</v>
      </c>
      <c r="J23" s="36">
        <v>155.34200000000001</v>
      </c>
      <c r="K23" s="36">
        <v>154.32599999999999</v>
      </c>
      <c r="L23" s="36">
        <v>148.41399999999999</v>
      </c>
      <c r="M23" s="36">
        <v>159.76900000000001</v>
      </c>
      <c r="N23" s="36">
        <v>197.68700000000001</v>
      </c>
      <c r="O23" s="36">
        <v>300.92</v>
      </c>
      <c r="P23" s="36">
        <v>371.89100000000002</v>
      </c>
      <c r="Q23" s="36">
        <v>431.28399999999999</v>
      </c>
      <c r="R23" s="36">
        <v>463.70800000000003</v>
      </c>
      <c r="S23" s="36">
        <v>502.72500000000002</v>
      </c>
      <c r="T23" s="36">
        <v>515.09100000000001</v>
      </c>
      <c r="U23" s="36">
        <v>486.90899999999999</v>
      </c>
      <c r="V23" s="36">
        <v>481.76900000000001</v>
      </c>
      <c r="W23" s="36">
        <v>476.94200000000001</v>
      </c>
      <c r="X23" s="36">
        <v>465.13900000000001</v>
      </c>
      <c r="Y23" s="36">
        <v>443.49900000000002</v>
      </c>
      <c r="Z23" s="36">
        <v>730.02499999999998</v>
      </c>
      <c r="AA23" s="36">
        <v>1117.5250000000001</v>
      </c>
      <c r="AB23" s="36">
        <v>934.726</v>
      </c>
    </row>
    <row r="24" spans="2:30" x14ac:dyDescent="0.35">
      <c r="B24" s="8" t="s">
        <v>307</v>
      </c>
      <c r="C24" s="36">
        <v>214.89599999999999</v>
      </c>
      <c r="D24" s="36">
        <v>241.375</v>
      </c>
      <c r="E24" s="36">
        <v>230.97300000000001</v>
      </c>
      <c r="F24" s="36">
        <v>231.548</v>
      </c>
      <c r="G24" s="36">
        <v>208.53700000000001</v>
      </c>
      <c r="H24" s="36">
        <v>241.59299999999999</v>
      </c>
      <c r="I24" s="36">
        <v>211.679</v>
      </c>
      <c r="J24" s="36">
        <v>242.833</v>
      </c>
      <c r="K24" s="36">
        <v>299.64400000000001</v>
      </c>
      <c r="L24" s="36">
        <v>329.84800000000001</v>
      </c>
      <c r="M24" s="36">
        <v>353.43099999999998</v>
      </c>
      <c r="N24" s="36">
        <v>404.35300000000001</v>
      </c>
      <c r="O24" s="36">
        <v>426.798</v>
      </c>
      <c r="P24" s="36">
        <v>432.005</v>
      </c>
      <c r="Q24" s="36">
        <v>413.79300000000001</v>
      </c>
      <c r="R24" s="36">
        <v>378.61599999999999</v>
      </c>
      <c r="S24" s="36">
        <v>389.36799999999999</v>
      </c>
      <c r="T24" s="36">
        <v>377.39699999999999</v>
      </c>
      <c r="U24" s="36">
        <v>372.351</v>
      </c>
      <c r="V24" s="36">
        <v>334.30500000000001</v>
      </c>
      <c r="W24" s="36">
        <v>318.01900000000001</v>
      </c>
      <c r="X24" s="36">
        <v>292.14400000000001</v>
      </c>
      <c r="Y24" s="36">
        <v>329.21699999999998</v>
      </c>
      <c r="Z24" s="36">
        <v>337.32299999999998</v>
      </c>
      <c r="AA24" s="36">
        <v>679.976</v>
      </c>
      <c r="AB24" s="36">
        <v>876.81</v>
      </c>
    </row>
    <row r="25" spans="2:30" x14ac:dyDescent="0.35">
      <c r="B25" s="20" t="s">
        <v>308</v>
      </c>
      <c r="C25" s="36">
        <v>154.452</v>
      </c>
      <c r="D25" s="36">
        <v>171.572</v>
      </c>
      <c r="E25" s="36">
        <v>148.89599999999999</v>
      </c>
      <c r="F25" s="36">
        <v>140.59700000000001</v>
      </c>
      <c r="G25" s="36">
        <v>126.378</v>
      </c>
      <c r="H25" s="36">
        <v>114.098</v>
      </c>
      <c r="I25" s="36">
        <v>106.182</v>
      </c>
      <c r="J25" s="36">
        <v>99.962000000000003</v>
      </c>
      <c r="K25" s="36">
        <v>97.215000000000003</v>
      </c>
      <c r="L25" s="36">
        <v>106.39400000000001</v>
      </c>
      <c r="M25" s="36">
        <v>107.44499999999999</v>
      </c>
      <c r="N25" s="36">
        <v>120.76300000000001</v>
      </c>
      <c r="O25" s="36">
        <v>128.19</v>
      </c>
      <c r="P25" s="36">
        <v>152.59700000000001</v>
      </c>
      <c r="Q25" s="36">
        <v>121.253</v>
      </c>
      <c r="R25" s="36">
        <v>108.953</v>
      </c>
      <c r="S25" s="36">
        <v>95.587000000000003</v>
      </c>
      <c r="T25" s="36">
        <v>96.066000000000003</v>
      </c>
      <c r="U25" s="36">
        <v>87.519000000000005</v>
      </c>
      <c r="V25" s="36">
        <v>72.632000000000005</v>
      </c>
      <c r="W25" s="36">
        <v>72.245000000000005</v>
      </c>
      <c r="X25" s="36">
        <v>56.968000000000004</v>
      </c>
      <c r="Y25" s="36">
        <v>65.781000000000006</v>
      </c>
      <c r="Z25" s="36">
        <v>71.063999999999993</v>
      </c>
      <c r="AA25" s="36">
        <v>79.218999999999994</v>
      </c>
      <c r="AB25" s="36">
        <v>79.254000000000005</v>
      </c>
    </row>
    <row r="26" spans="2:30" x14ac:dyDescent="0.35">
      <c r="B26" s="20" t="s">
        <v>309</v>
      </c>
      <c r="C26" s="36">
        <v>60.444000000000003</v>
      </c>
      <c r="D26" s="36">
        <v>69.802999999999997</v>
      </c>
      <c r="E26" s="36">
        <v>82.076999999999998</v>
      </c>
      <c r="F26" s="36">
        <v>90.950999999999993</v>
      </c>
      <c r="G26" s="36">
        <v>82.159000000000006</v>
      </c>
      <c r="H26" s="36">
        <v>127.495</v>
      </c>
      <c r="I26" s="36">
        <v>105.497</v>
      </c>
      <c r="J26" s="36">
        <v>142.87100000000001</v>
      </c>
      <c r="K26" s="36">
        <v>202.429</v>
      </c>
      <c r="L26" s="36">
        <v>223.45400000000001</v>
      </c>
      <c r="M26" s="36">
        <v>245.98599999999999</v>
      </c>
      <c r="N26" s="36">
        <v>283.58999999999997</v>
      </c>
      <c r="O26" s="36">
        <v>298.608</v>
      </c>
      <c r="P26" s="36">
        <v>279.40800000000002</v>
      </c>
      <c r="Q26" s="36">
        <v>292.54000000000002</v>
      </c>
      <c r="R26" s="36">
        <v>269.66300000000001</v>
      </c>
      <c r="S26" s="36">
        <v>293.78100000000001</v>
      </c>
      <c r="T26" s="36">
        <v>281.33100000000002</v>
      </c>
      <c r="U26" s="36">
        <v>284.83199999999999</v>
      </c>
      <c r="V26" s="36">
        <v>261.673</v>
      </c>
      <c r="W26" s="36">
        <v>245.774</v>
      </c>
      <c r="X26" s="36">
        <v>235.17599999999999</v>
      </c>
      <c r="Y26" s="36">
        <v>263.43599999999998</v>
      </c>
      <c r="Z26" s="36">
        <v>266.25900000000001</v>
      </c>
      <c r="AA26" s="36">
        <v>600.75699999999995</v>
      </c>
      <c r="AB26" s="36">
        <v>797.55600000000004</v>
      </c>
    </row>
    <row r="27" spans="2:30" x14ac:dyDescent="0.35">
      <c r="B27" s="6" t="s">
        <v>21</v>
      </c>
      <c r="C27" s="36">
        <v>165.54400000000001</v>
      </c>
      <c r="D27" s="36">
        <v>150.52000000000001</v>
      </c>
      <c r="E27" s="36">
        <v>133.446</v>
      </c>
      <c r="F27" s="36">
        <v>107.461</v>
      </c>
      <c r="G27" s="36">
        <v>147.804</v>
      </c>
      <c r="H27" s="36">
        <v>202.47300000000001</v>
      </c>
      <c r="I27" s="36">
        <v>168.114</v>
      </c>
      <c r="J27" s="36">
        <v>120.568</v>
      </c>
      <c r="K27" s="36">
        <v>93.162999999999997</v>
      </c>
      <c r="L27" s="36">
        <v>100.402</v>
      </c>
      <c r="M27" s="36">
        <v>113.6</v>
      </c>
      <c r="N27" s="36">
        <v>240.90600000000001</v>
      </c>
      <c r="O27" s="36">
        <v>558.17499999999995</v>
      </c>
      <c r="P27" s="36">
        <v>597.428</v>
      </c>
      <c r="Q27" s="36">
        <v>485.13299999999998</v>
      </c>
      <c r="R27" s="36">
        <v>405.50599999999997</v>
      </c>
      <c r="S27" s="36">
        <v>274.80399999999997</v>
      </c>
      <c r="T27" s="36">
        <v>184.71799999999999</v>
      </c>
      <c r="U27" s="36">
        <v>145.69300000000001</v>
      </c>
      <c r="V27" s="36">
        <v>136.446</v>
      </c>
      <c r="W27" s="36">
        <v>167.571</v>
      </c>
      <c r="X27" s="36">
        <v>148.797</v>
      </c>
      <c r="Y27" s="36">
        <v>149.154</v>
      </c>
      <c r="Z27" s="36">
        <v>3843.5450000000001</v>
      </c>
      <c r="AA27" s="36">
        <v>2165.2199999999998</v>
      </c>
      <c r="AB27" s="36">
        <v>153.19800000000001</v>
      </c>
    </row>
    <row r="28" spans="2:30" x14ac:dyDescent="0.35">
      <c r="B28" s="8" t="s">
        <v>310</v>
      </c>
      <c r="C28" s="36">
        <v>155.001</v>
      </c>
      <c r="D28" s="36">
        <v>142.078</v>
      </c>
      <c r="E28" s="36">
        <v>125.667</v>
      </c>
      <c r="F28" s="36">
        <v>100.471</v>
      </c>
      <c r="G28" s="36">
        <v>141.09899999999999</v>
      </c>
      <c r="H28" s="36">
        <v>193.798</v>
      </c>
      <c r="I28" s="36">
        <v>158.70599999999999</v>
      </c>
      <c r="J28" s="36">
        <v>113.236</v>
      </c>
      <c r="K28" s="36">
        <v>86.448999999999998</v>
      </c>
      <c r="L28" s="36">
        <v>92.308000000000007</v>
      </c>
      <c r="M28" s="36">
        <v>107.872</v>
      </c>
      <c r="N28" s="36">
        <v>233.90199999999999</v>
      </c>
      <c r="O28" s="36">
        <v>546.85900000000004</v>
      </c>
      <c r="P28" s="36">
        <v>578.36800000000005</v>
      </c>
      <c r="Q28" s="36">
        <v>465.608</v>
      </c>
      <c r="R28" s="36">
        <v>387.93900000000002</v>
      </c>
      <c r="S28" s="36">
        <v>259.86399999999998</v>
      </c>
      <c r="T28" s="36">
        <v>174.90299999999999</v>
      </c>
      <c r="U28" s="36">
        <v>138.05699999999999</v>
      </c>
      <c r="V28" s="36">
        <v>130.39699999999999</v>
      </c>
      <c r="W28" s="36">
        <v>162.102</v>
      </c>
      <c r="X28" s="36">
        <v>143.40299999999999</v>
      </c>
      <c r="Y28" s="36">
        <v>144.42400000000001</v>
      </c>
      <c r="Z28" s="36">
        <v>3834.384</v>
      </c>
      <c r="AA28" s="36">
        <v>2160.0459999999998</v>
      </c>
      <c r="AB28" s="36">
        <v>149.62200000000001</v>
      </c>
    </row>
    <row r="29" spans="2:30" x14ac:dyDescent="0.35">
      <c r="B29" s="8" t="s">
        <v>311</v>
      </c>
      <c r="C29" s="36">
        <v>10.542999999999999</v>
      </c>
      <c r="D29" s="36">
        <v>8.4420000000000002</v>
      </c>
      <c r="E29" s="36">
        <v>7.7789999999999999</v>
      </c>
      <c r="F29" s="36">
        <v>6.99</v>
      </c>
      <c r="G29" s="36">
        <v>6.7050000000000001</v>
      </c>
      <c r="H29" s="36">
        <v>8.6750000000000007</v>
      </c>
      <c r="I29" s="36">
        <v>9.4079999999999995</v>
      </c>
      <c r="J29" s="36">
        <v>7.3319999999999999</v>
      </c>
      <c r="K29" s="36">
        <v>6.7140000000000004</v>
      </c>
      <c r="L29" s="36">
        <v>8.0939999999999994</v>
      </c>
      <c r="M29" s="36">
        <v>5.7279999999999998</v>
      </c>
      <c r="N29" s="36">
        <v>7.0039999999999996</v>
      </c>
      <c r="O29" s="36">
        <v>11.316000000000001</v>
      </c>
      <c r="P29" s="36">
        <v>19.059999999999999</v>
      </c>
      <c r="Q29" s="36">
        <v>19.524999999999999</v>
      </c>
      <c r="R29" s="36">
        <v>17.567</v>
      </c>
      <c r="S29" s="36">
        <v>14.94</v>
      </c>
      <c r="T29" s="36">
        <v>9.8149999999999995</v>
      </c>
      <c r="U29" s="36">
        <v>7.6360000000000001</v>
      </c>
      <c r="V29" s="36">
        <v>6.0490000000000004</v>
      </c>
      <c r="W29" s="36">
        <v>5.4690000000000003</v>
      </c>
      <c r="X29" s="36">
        <v>5.3940000000000001</v>
      </c>
      <c r="Y29" s="36">
        <v>4.7300000000000004</v>
      </c>
      <c r="Z29" s="36">
        <v>9.1609999999999996</v>
      </c>
      <c r="AA29" s="36">
        <v>5.1740000000000004</v>
      </c>
      <c r="AB29" s="36">
        <v>3.5760000000000001</v>
      </c>
    </row>
    <row r="30" spans="2:30" x14ac:dyDescent="0.35">
      <c r="B30" s="20" t="s">
        <v>312</v>
      </c>
      <c r="C30" s="36">
        <v>4.7380000000000004</v>
      </c>
      <c r="D30" s="36">
        <v>3.9220000000000002</v>
      </c>
      <c r="E30" s="36">
        <v>3.5790000000000002</v>
      </c>
      <c r="F30" s="36">
        <v>3.2029999999999998</v>
      </c>
      <c r="G30" s="36">
        <v>3.468</v>
      </c>
      <c r="H30" s="36">
        <v>4.0789999999999997</v>
      </c>
      <c r="I30" s="36">
        <v>4.1719999999999997</v>
      </c>
      <c r="J30" s="36">
        <v>2.8620000000000001</v>
      </c>
      <c r="K30" s="36">
        <v>2.0939999999999999</v>
      </c>
      <c r="L30" s="36">
        <v>1.762</v>
      </c>
      <c r="M30" s="36">
        <v>1.893</v>
      </c>
      <c r="N30" s="36">
        <v>1.9950000000000001</v>
      </c>
      <c r="O30" s="36">
        <v>2.9209999999999998</v>
      </c>
      <c r="P30" s="36">
        <v>4.91</v>
      </c>
      <c r="Q30" s="36">
        <v>6.4169999999999998</v>
      </c>
      <c r="R30" s="36">
        <v>5.3449999999999998</v>
      </c>
      <c r="S30" s="36">
        <v>4.3029999999999999</v>
      </c>
      <c r="T30" s="36">
        <v>3.3370000000000002</v>
      </c>
      <c r="U30" s="36">
        <v>2.4079999999999999</v>
      </c>
      <c r="V30" s="36">
        <v>1.7969999999999999</v>
      </c>
      <c r="W30" s="36">
        <v>2.04</v>
      </c>
      <c r="X30" s="36">
        <v>2.0409999999999999</v>
      </c>
      <c r="Y30" s="36">
        <v>2.1379999999999999</v>
      </c>
      <c r="Z30" s="36">
        <v>4.8310000000000004</v>
      </c>
      <c r="AA30" s="36">
        <v>3.01</v>
      </c>
      <c r="AB30" s="36">
        <v>1.744</v>
      </c>
    </row>
    <row r="31" spans="2:30" x14ac:dyDescent="0.35">
      <c r="B31" s="20" t="s">
        <v>313</v>
      </c>
      <c r="C31" s="36">
        <v>0</v>
      </c>
      <c r="D31" s="36">
        <v>7.0000000000000001E-3</v>
      </c>
      <c r="E31" s="36">
        <v>4.0000000000000001E-3</v>
      </c>
      <c r="F31" s="36">
        <v>0</v>
      </c>
      <c r="G31" s="36">
        <v>0</v>
      </c>
      <c r="H31" s="36">
        <v>8.9999999999999993E-3</v>
      </c>
      <c r="I31" s="36">
        <v>1.4999999999999999E-2</v>
      </c>
      <c r="J31" s="36">
        <v>8.0000000000000002E-3</v>
      </c>
      <c r="K31" s="36">
        <v>8.0000000000000002E-3</v>
      </c>
      <c r="L31" s="36">
        <v>1E-3</v>
      </c>
      <c r="M31" s="36">
        <v>0</v>
      </c>
      <c r="N31" s="36">
        <v>4.0000000000000001E-3</v>
      </c>
      <c r="O31" s="36">
        <v>0</v>
      </c>
      <c r="P31" s="36">
        <v>0</v>
      </c>
      <c r="Q31" s="36">
        <v>0</v>
      </c>
      <c r="R31" s="36">
        <v>0</v>
      </c>
      <c r="S31" s="36">
        <v>0</v>
      </c>
      <c r="T31" s="36">
        <v>4.0000000000000001E-3</v>
      </c>
      <c r="U31" s="36">
        <v>4.0000000000000001E-3</v>
      </c>
      <c r="V31" s="36">
        <v>6.0000000000000001E-3</v>
      </c>
      <c r="W31" s="36">
        <v>0</v>
      </c>
      <c r="X31" s="36">
        <v>0.01</v>
      </c>
      <c r="Y31" s="36">
        <v>1.4999999999999999E-2</v>
      </c>
      <c r="Z31" s="36">
        <v>8.9999999999999993E-3</v>
      </c>
      <c r="AA31" s="36">
        <v>6.0000000000000001E-3</v>
      </c>
      <c r="AB31" s="36">
        <v>4.0000000000000001E-3</v>
      </c>
    </row>
    <row r="32" spans="2:30" x14ac:dyDescent="0.35">
      <c r="B32" s="20" t="s">
        <v>314</v>
      </c>
      <c r="C32" s="36">
        <v>5.7480000000000002</v>
      </c>
      <c r="D32" s="36">
        <v>4.5110000000000001</v>
      </c>
      <c r="E32" s="36">
        <v>4.1929999999999996</v>
      </c>
      <c r="F32" s="36">
        <v>3.7850000000000001</v>
      </c>
      <c r="G32" s="36">
        <v>3.2370000000000001</v>
      </c>
      <c r="H32" s="36">
        <v>4.5869999999999997</v>
      </c>
      <c r="I32" s="36">
        <v>5.1239999999999997</v>
      </c>
      <c r="J32" s="36">
        <v>4.0359999999999996</v>
      </c>
      <c r="K32" s="36">
        <v>4.4219999999999997</v>
      </c>
      <c r="L32" s="36">
        <v>6.31</v>
      </c>
      <c r="M32" s="36">
        <v>3.7050000000000001</v>
      </c>
      <c r="N32" s="36">
        <v>4.181</v>
      </c>
      <c r="O32" s="36">
        <v>7.673</v>
      </c>
      <c r="P32" s="36">
        <v>14.034000000000001</v>
      </c>
      <c r="Q32" s="36">
        <v>13.052</v>
      </c>
      <c r="R32" s="36">
        <v>11.951000000000001</v>
      </c>
      <c r="S32" s="36">
        <v>10.388999999999999</v>
      </c>
      <c r="T32" s="36">
        <v>6.359</v>
      </c>
      <c r="U32" s="36">
        <v>4.7809999999999997</v>
      </c>
      <c r="V32" s="36">
        <v>3.2730000000000001</v>
      </c>
      <c r="W32" s="36">
        <v>2.4300000000000002</v>
      </c>
      <c r="X32" s="36">
        <v>2.1110000000000002</v>
      </c>
      <c r="Y32" s="36">
        <v>1.6220000000000001</v>
      </c>
      <c r="Z32" s="36">
        <v>4.0019999999999998</v>
      </c>
      <c r="AA32" s="36">
        <v>2.0960000000000001</v>
      </c>
      <c r="AB32" s="36">
        <v>1.8280000000000001</v>
      </c>
    </row>
    <row r="33" spans="2:28" x14ac:dyDescent="0.35">
      <c r="B33" s="20" t="s">
        <v>315</v>
      </c>
      <c r="C33" s="36">
        <v>5.7000000000000002E-2</v>
      </c>
      <c r="D33" s="36">
        <v>2E-3</v>
      </c>
      <c r="E33" s="36">
        <v>3.0000000000000001E-3</v>
      </c>
      <c r="F33" s="36">
        <v>2E-3</v>
      </c>
      <c r="G33" s="36">
        <v>0</v>
      </c>
      <c r="H33" s="36">
        <v>0</v>
      </c>
      <c r="I33" s="36">
        <v>9.7000000000000003E-2</v>
      </c>
      <c r="J33" s="36">
        <v>0.42599999999999999</v>
      </c>
      <c r="K33" s="36">
        <v>0.19</v>
      </c>
      <c r="L33" s="36">
        <v>2.1000000000000001E-2</v>
      </c>
      <c r="M33" s="36">
        <v>0.13</v>
      </c>
      <c r="N33" s="36">
        <v>0.82399999999999995</v>
      </c>
      <c r="O33" s="36">
        <v>0.72199999999999998</v>
      </c>
      <c r="P33" s="36">
        <v>0.11600000000000001</v>
      </c>
      <c r="Q33" s="36">
        <v>5.6000000000000001E-2</v>
      </c>
      <c r="R33" s="36">
        <v>0.27100000000000002</v>
      </c>
      <c r="S33" s="36">
        <v>0.248</v>
      </c>
      <c r="T33" s="36">
        <v>0.115</v>
      </c>
      <c r="U33" s="36">
        <v>0.443</v>
      </c>
      <c r="V33" s="36">
        <v>0.97299999999999998</v>
      </c>
      <c r="W33" s="36">
        <v>0.999</v>
      </c>
      <c r="X33" s="36">
        <v>1.232</v>
      </c>
      <c r="Y33" s="36">
        <v>0.95499999999999996</v>
      </c>
      <c r="Z33" s="36">
        <v>0.31900000000000001</v>
      </c>
      <c r="AA33" s="36">
        <v>6.2E-2</v>
      </c>
      <c r="AB33" s="36">
        <v>0</v>
      </c>
    </row>
    <row r="34" spans="2:28" x14ac:dyDescent="0.35">
      <c r="B34" s="6" t="s">
        <v>316</v>
      </c>
      <c r="C34" s="36">
        <v>113.447</v>
      </c>
      <c r="D34" s="36">
        <v>116.139</v>
      </c>
      <c r="E34" s="36">
        <v>123.441</v>
      </c>
      <c r="F34" s="36">
        <v>129.25</v>
      </c>
      <c r="G34" s="36">
        <v>139.55600000000001</v>
      </c>
      <c r="H34" s="36">
        <v>156.43899999999999</v>
      </c>
      <c r="I34" s="36">
        <v>171.90700000000001</v>
      </c>
      <c r="J34" s="36">
        <v>185.084</v>
      </c>
      <c r="K34" s="36">
        <v>196.297</v>
      </c>
      <c r="L34" s="36">
        <v>206.66300000000001</v>
      </c>
      <c r="M34" s="36">
        <v>219.637</v>
      </c>
      <c r="N34" s="36">
        <v>235.345</v>
      </c>
      <c r="O34" s="36">
        <v>279.74400000000003</v>
      </c>
      <c r="P34" s="36">
        <v>350.03</v>
      </c>
      <c r="Q34" s="36">
        <v>406.43400000000003</v>
      </c>
      <c r="R34" s="36">
        <v>442.71699999999998</v>
      </c>
      <c r="S34" s="36">
        <v>504.95100000000002</v>
      </c>
      <c r="T34" s="36">
        <v>533.63099999999997</v>
      </c>
      <c r="U34" s="36">
        <v>612.18200000000002</v>
      </c>
      <c r="V34" s="36">
        <v>656.58100000000002</v>
      </c>
      <c r="W34" s="36">
        <v>787.21400000000006</v>
      </c>
      <c r="X34" s="36">
        <v>834.40800000000002</v>
      </c>
      <c r="Y34" s="36">
        <v>883.62</v>
      </c>
      <c r="Z34" s="36">
        <v>958.92</v>
      </c>
      <c r="AA34" s="36">
        <v>992.01300000000003</v>
      </c>
      <c r="AB34" s="36">
        <v>1079.2329999999999</v>
      </c>
    </row>
    <row r="35" spans="2:28" x14ac:dyDescent="0.35">
      <c r="B35" s="8" t="s">
        <v>317</v>
      </c>
      <c r="C35" s="36">
        <v>85.795000000000002</v>
      </c>
      <c r="D35" s="36">
        <v>90.334999999999994</v>
      </c>
      <c r="E35" s="36">
        <v>97.665000000000006</v>
      </c>
      <c r="F35" s="36">
        <v>105.06699999999999</v>
      </c>
      <c r="G35" s="36">
        <v>114.742</v>
      </c>
      <c r="H35" s="36">
        <v>130.30000000000001</v>
      </c>
      <c r="I35" s="36">
        <v>143.5</v>
      </c>
      <c r="J35" s="36">
        <v>155.51499999999999</v>
      </c>
      <c r="K35" s="36">
        <v>168.202</v>
      </c>
      <c r="L35" s="36">
        <v>180.07499999999999</v>
      </c>
      <c r="M35" s="36">
        <v>192.42400000000001</v>
      </c>
      <c r="N35" s="36">
        <v>206.88200000000001</v>
      </c>
      <c r="O35" s="36">
        <v>231.47499999999999</v>
      </c>
      <c r="P35" s="36">
        <v>253.22399999999999</v>
      </c>
      <c r="Q35" s="36">
        <v>276.94799999999998</v>
      </c>
      <c r="R35" s="36">
        <v>302.53500000000003</v>
      </c>
      <c r="S35" s="36">
        <v>350.928</v>
      </c>
      <c r="T35" s="36">
        <v>370.25400000000002</v>
      </c>
      <c r="U35" s="36">
        <v>402.74200000000002</v>
      </c>
      <c r="V35" s="36">
        <v>423.18799999999999</v>
      </c>
      <c r="W35" s="36">
        <v>455</v>
      </c>
      <c r="X35" s="36">
        <v>498.81299999999999</v>
      </c>
      <c r="Y35" s="36">
        <v>556.34799999999996</v>
      </c>
      <c r="Z35" s="36">
        <v>619.09900000000005</v>
      </c>
      <c r="AA35" s="36">
        <v>666.61099999999999</v>
      </c>
      <c r="AB35" s="36">
        <v>754.54499999999996</v>
      </c>
    </row>
    <row r="36" spans="2:28" x14ac:dyDescent="0.35">
      <c r="B36" s="8" t="s">
        <v>318</v>
      </c>
      <c r="C36" s="36">
        <v>10.478</v>
      </c>
      <c r="D36" s="36">
        <v>10.632</v>
      </c>
      <c r="E36" s="36">
        <v>11.022</v>
      </c>
      <c r="F36" s="36">
        <v>10.118</v>
      </c>
      <c r="G36" s="36">
        <v>10.579000000000001</v>
      </c>
      <c r="H36" s="36">
        <v>11.523999999999999</v>
      </c>
      <c r="I36" s="36">
        <v>13.772</v>
      </c>
      <c r="J36" s="36">
        <v>15.035</v>
      </c>
      <c r="K36" s="36">
        <v>14.073</v>
      </c>
      <c r="L36" s="36">
        <v>13.688000000000001</v>
      </c>
      <c r="M36" s="36">
        <v>15.372</v>
      </c>
      <c r="N36" s="36">
        <v>16.097000000000001</v>
      </c>
      <c r="O36" s="36">
        <v>36.1</v>
      </c>
      <c r="P36" s="36">
        <v>85.082999999999998</v>
      </c>
      <c r="Q36" s="36">
        <v>118.61499999999999</v>
      </c>
      <c r="R36" s="36">
        <v>129.488</v>
      </c>
      <c r="S36" s="36">
        <v>143.77000000000001</v>
      </c>
      <c r="T36" s="36">
        <v>152.751</v>
      </c>
      <c r="U36" s="36">
        <v>178.685</v>
      </c>
      <c r="V36" s="36">
        <v>176.661</v>
      </c>
      <c r="W36" s="36">
        <v>174.97399999999999</v>
      </c>
      <c r="X36" s="36">
        <v>153.98099999999999</v>
      </c>
      <c r="Y36" s="36">
        <v>148.73500000000001</v>
      </c>
      <c r="Z36" s="36">
        <v>138.59399999999999</v>
      </c>
      <c r="AA36" s="36">
        <v>122.833</v>
      </c>
      <c r="AB36" s="36">
        <v>118.971</v>
      </c>
    </row>
    <row r="37" spans="2:28" x14ac:dyDescent="0.35">
      <c r="B37" s="8" t="s">
        <v>319</v>
      </c>
      <c r="C37" s="36">
        <v>17.117999999999999</v>
      </c>
      <c r="D37" s="36">
        <v>15.128</v>
      </c>
      <c r="E37" s="36">
        <v>14.712999999999999</v>
      </c>
      <c r="F37" s="36">
        <v>14.023999999999999</v>
      </c>
      <c r="G37" s="36">
        <v>14.196</v>
      </c>
      <c r="H37" s="36">
        <v>14.577</v>
      </c>
      <c r="I37" s="36">
        <v>14.603</v>
      </c>
      <c r="J37" s="36">
        <v>14.486000000000001</v>
      </c>
      <c r="K37" s="36">
        <v>13.881</v>
      </c>
      <c r="L37" s="36">
        <v>12.696</v>
      </c>
      <c r="M37" s="36">
        <v>11.625999999999999</v>
      </c>
      <c r="N37" s="36">
        <v>11.871</v>
      </c>
      <c r="O37" s="36">
        <v>11.891999999999999</v>
      </c>
      <c r="P37" s="36">
        <v>11.396000000000001</v>
      </c>
      <c r="Q37" s="36">
        <v>10.64</v>
      </c>
      <c r="R37" s="36">
        <v>10.663</v>
      </c>
      <c r="S37" s="36">
        <v>10.252000000000001</v>
      </c>
      <c r="T37" s="36">
        <v>10.625999999999999</v>
      </c>
      <c r="U37" s="36">
        <v>9.3670000000000009</v>
      </c>
      <c r="V37" s="36">
        <v>8.6010000000000009</v>
      </c>
      <c r="W37" s="36">
        <v>8.5429999999999993</v>
      </c>
      <c r="X37" s="36">
        <v>8.2870000000000008</v>
      </c>
      <c r="Y37" s="36">
        <v>7.5279999999999996</v>
      </c>
      <c r="Z37" s="36">
        <v>7.351</v>
      </c>
      <c r="AA37" s="36">
        <v>7.5540000000000003</v>
      </c>
      <c r="AB37" s="36">
        <v>5.4429999999999996</v>
      </c>
    </row>
    <row r="38" spans="2:28" x14ac:dyDescent="0.35">
      <c r="B38" s="8" t="s">
        <v>320</v>
      </c>
      <c r="C38" s="36">
        <v>5.6000000000000001E-2</v>
      </c>
      <c r="D38" s="36">
        <v>4.3999999999999997E-2</v>
      </c>
      <c r="E38" s="36">
        <v>4.1000000000000002E-2</v>
      </c>
      <c r="F38" s="36">
        <v>4.1000000000000002E-2</v>
      </c>
      <c r="G38" s="36">
        <v>3.9E-2</v>
      </c>
      <c r="H38" s="36">
        <v>3.7999999999999999E-2</v>
      </c>
      <c r="I38" s="36">
        <v>3.2000000000000001E-2</v>
      </c>
      <c r="J38" s="36">
        <v>4.8000000000000001E-2</v>
      </c>
      <c r="K38" s="36">
        <v>0.14099999999999999</v>
      </c>
      <c r="L38" s="36">
        <v>0.20399999999999999</v>
      </c>
      <c r="M38" s="36">
        <v>0.215</v>
      </c>
      <c r="N38" s="36">
        <v>0.495</v>
      </c>
      <c r="O38" s="36">
        <v>0.27700000000000002</v>
      </c>
      <c r="P38" s="36">
        <v>0.32700000000000001</v>
      </c>
      <c r="Q38" s="36">
        <v>0.23100000000000001</v>
      </c>
      <c r="R38" s="36">
        <v>3.1E-2</v>
      </c>
      <c r="S38" s="36">
        <v>1E-3</v>
      </c>
      <c r="T38" s="36">
        <v>0</v>
      </c>
      <c r="U38" s="36">
        <v>21.388000000000002</v>
      </c>
      <c r="V38" s="36">
        <v>48.131</v>
      </c>
      <c r="W38" s="36">
        <v>148.697</v>
      </c>
      <c r="X38" s="36">
        <v>173.327</v>
      </c>
      <c r="Y38" s="36">
        <v>171.00899999999999</v>
      </c>
      <c r="Z38" s="36">
        <v>193.876</v>
      </c>
      <c r="AA38" s="36">
        <v>195.01499999999999</v>
      </c>
      <c r="AB38" s="36">
        <v>200.274</v>
      </c>
    </row>
    <row r="39" spans="2:28" x14ac:dyDescent="0.35">
      <c r="B39" s="6" t="s">
        <v>321</v>
      </c>
      <c r="C39" s="36">
        <v>31.776</v>
      </c>
      <c r="D39" s="36">
        <v>43.972000000000001</v>
      </c>
      <c r="E39" s="36">
        <v>45.834000000000003</v>
      </c>
      <c r="F39" s="36">
        <v>42.591999999999999</v>
      </c>
      <c r="G39" s="36">
        <v>49.668999999999997</v>
      </c>
      <c r="H39" s="36">
        <v>54.591000000000001</v>
      </c>
      <c r="I39" s="36">
        <v>57.601999999999997</v>
      </c>
      <c r="J39" s="36">
        <v>66.733000000000004</v>
      </c>
      <c r="K39" s="36">
        <v>65.863</v>
      </c>
      <c r="L39" s="36">
        <v>68.834999999999994</v>
      </c>
      <c r="M39" s="36">
        <v>74.566999999999993</v>
      </c>
      <c r="N39" s="36">
        <v>89.745999999999995</v>
      </c>
      <c r="O39" s="36">
        <v>116.03</v>
      </c>
      <c r="P39" s="36">
        <v>158.44499999999999</v>
      </c>
      <c r="Q39" s="36">
        <v>186.07499999999999</v>
      </c>
      <c r="R39" s="36">
        <v>192.99600000000001</v>
      </c>
      <c r="S39" s="36">
        <v>192.42699999999999</v>
      </c>
      <c r="T39" s="36">
        <v>196.57300000000001</v>
      </c>
      <c r="U39" s="36">
        <v>204.85499999999999</v>
      </c>
      <c r="V39" s="36">
        <v>204.22800000000001</v>
      </c>
      <c r="W39" s="36">
        <v>186.654</v>
      </c>
      <c r="X39" s="36">
        <v>188.386</v>
      </c>
      <c r="Y39" s="36">
        <v>186.45</v>
      </c>
      <c r="Z39" s="36">
        <v>185.631</v>
      </c>
      <c r="AA39" s="36">
        <v>186.03700000000001</v>
      </c>
      <c r="AB39" s="36">
        <v>196.81</v>
      </c>
    </row>
    <row r="40" spans="2:28" x14ac:dyDescent="0.35">
      <c r="B40" s="6" t="s">
        <v>322</v>
      </c>
      <c r="C40" s="36">
        <v>5.1289999999999996</v>
      </c>
      <c r="D40" s="36">
        <v>1.9890000000000001</v>
      </c>
      <c r="E40" s="36">
        <v>2.4990000000000001</v>
      </c>
      <c r="F40" s="36">
        <v>3.8679999999999999</v>
      </c>
      <c r="G40" s="36">
        <v>5.26</v>
      </c>
      <c r="H40" s="36">
        <v>2.8849999999999998</v>
      </c>
      <c r="I40" s="36">
        <v>2.9580000000000002</v>
      </c>
      <c r="J40" s="36">
        <v>6.2919999999999998</v>
      </c>
      <c r="K40" s="36">
        <v>2.2469999999999999</v>
      </c>
      <c r="L40" s="36">
        <v>2.5569999999999999</v>
      </c>
      <c r="M40" s="36">
        <v>4.1130000000000004</v>
      </c>
      <c r="N40" s="36">
        <v>456.61</v>
      </c>
      <c r="O40" s="36">
        <v>109.869</v>
      </c>
      <c r="P40" s="36">
        <v>331.06900000000002</v>
      </c>
      <c r="Q40" s="36">
        <v>258.62400000000002</v>
      </c>
      <c r="R40" s="36">
        <v>57.914999999999999</v>
      </c>
      <c r="S40" s="36">
        <v>48.604999999999997</v>
      </c>
      <c r="T40" s="36">
        <v>50.000999999999998</v>
      </c>
      <c r="U40" s="36">
        <v>72.480999999999995</v>
      </c>
      <c r="V40" s="36">
        <v>83.552000000000007</v>
      </c>
      <c r="W40" s="36">
        <v>104.893</v>
      </c>
      <c r="X40" s="36">
        <v>113.24299999999999</v>
      </c>
      <c r="Y40" s="36">
        <v>126.30800000000001</v>
      </c>
      <c r="Z40" s="36">
        <v>1642.8589999999999</v>
      </c>
      <c r="AA40" s="36">
        <v>2724.3649999999998</v>
      </c>
      <c r="AB40" s="36">
        <v>201.245</v>
      </c>
    </row>
    <row r="41" spans="2:28" x14ac:dyDescent="0.35">
      <c r="B41" s="2" t="s">
        <v>323</v>
      </c>
      <c r="C41" s="36">
        <v>80.228999999999999</v>
      </c>
      <c r="D41" s="36">
        <v>83.132000000000005</v>
      </c>
      <c r="E41" s="36">
        <v>93.971000000000004</v>
      </c>
      <c r="F41" s="36">
        <v>95.981999999999999</v>
      </c>
      <c r="G41" s="36">
        <v>110.36199999999999</v>
      </c>
      <c r="H41" s="36">
        <v>111.765</v>
      </c>
      <c r="I41" s="36">
        <v>118.724</v>
      </c>
      <c r="J41" s="36">
        <v>125.408</v>
      </c>
      <c r="K41" s="36">
        <v>148.26300000000001</v>
      </c>
      <c r="L41" s="36">
        <v>142.233</v>
      </c>
      <c r="M41" s="36">
        <v>139.03700000000001</v>
      </c>
      <c r="N41" s="36">
        <v>136.91300000000001</v>
      </c>
      <c r="O41" s="36">
        <v>146.43600000000001</v>
      </c>
      <c r="P41" s="36">
        <v>163.68899999999999</v>
      </c>
      <c r="Q41" s="36">
        <v>158.90299999999999</v>
      </c>
      <c r="R41" s="36">
        <v>170.91200000000001</v>
      </c>
      <c r="S41" s="36">
        <v>176.00299999999999</v>
      </c>
      <c r="T41" s="36">
        <v>182.167</v>
      </c>
      <c r="U41" s="36">
        <v>184.864</v>
      </c>
      <c r="V41" s="36">
        <v>186.09800000000001</v>
      </c>
      <c r="W41" s="36">
        <v>185.56100000000001</v>
      </c>
      <c r="X41" s="36">
        <v>228.745</v>
      </c>
      <c r="Y41" s="36">
        <v>215.22800000000001</v>
      </c>
      <c r="Z41" s="36">
        <v>702.51300000000003</v>
      </c>
      <c r="AA41" s="36">
        <v>468.88</v>
      </c>
      <c r="AB41" s="36">
        <v>462.53399999999999</v>
      </c>
    </row>
    <row r="42" spans="2:28" x14ac:dyDescent="0.35">
      <c r="B42" s="6" t="s">
        <v>324</v>
      </c>
      <c r="C42" s="36">
        <v>25.736000000000001</v>
      </c>
      <c r="D42" s="36">
        <v>26.550999999999998</v>
      </c>
      <c r="E42" s="36">
        <v>28.382999999999999</v>
      </c>
      <c r="F42" s="36">
        <v>30.317</v>
      </c>
      <c r="G42" s="36">
        <v>35.890999999999998</v>
      </c>
      <c r="H42" s="36">
        <v>39.729999999999997</v>
      </c>
      <c r="I42" s="36">
        <v>44.798000000000002</v>
      </c>
      <c r="J42" s="36">
        <v>47.860999999999997</v>
      </c>
      <c r="K42" s="36">
        <v>48.084000000000003</v>
      </c>
      <c r="L42" s="36">
        <v>48.103999999999999</v>
      </c>
      <c r="M42" s="36">
        <v>47.878</v>
      </c>
      <c r="N42" s="36">
        <v>51.72</v>
      </c>
      <c r="O42" s="36">
        <v>56.066000000000003</v>
      </c>
      <c r="P42" s="36">
        <v>58.920999999999999</v>
      </c>
      <c r="Q42" s="36">
        <v>61.741999999999997</v>
      </c>
      <c r="R42" s="36">
        <v>66.472999999999999</v>
      </c>
      <c r="S42" s="36">
        <v>67.498000000000005</v>
      </c>
      <c r="T42" s="36">
        <v>68.063999999999993</v>
      </c>
      <c r="U42" s="36">
        <v>64.914000000000001</v>
      </c>
      <c r="V42" s="36">
        <v>64.744</v>
      </c>
      <c r="W42" s="36">
        <v>62.292999999999999</v>
      </c>
      <c r="X42" s="36">
        <v>63.453000000000003</v>
      </c>
      <c r="Y42" s="36">
        <v>67.111000000000004</v>
      </c>
      <c r="Z42" s="36">
        <v>520.06200000000001</v>
      </c>
      <c r="AA42" s="36">
        <v>277.07799999999997</v>
      </c>
      <c r="AB42" s="36">
        <v>269.64100000000002</v>
      </c>
    </row>
    <row r="43" spans="2:28" x14ac:dyDescent="0.35">
      <c r="B43" s="6" t="s">
        <v>325</v>
      </c>
      <c r="C43" s="36">
        <v>18.562999999999999</v>
      </c>
      <c r="D43" s="36">
        <v>19.655000000000001</v>
      </c>
      <c r="E43" s="36">
        <v>20.53</v>
      </c>
      <c r="F43" s="36">
        <v>21.369</v>
      </c>
      <c r="G43" s="36">
        <v>25.454999999999998</v>
      </c>
      <c r="H43" s="36">
        <v>27.561</v>
      </c>
      <c r="I43" s="36">
        <v>27.286999999999999</v>
      </c>
      <c r="J43" s="36">
        <v>27.202000000000002</v>
      </c>
      <c r="K43" s="36">
        <v>27.734999999999999</v>
      </c>
      <c r="L43" s="36">
        <v>29.274000000000001</v>
      </c>
      <c r="M43" s="36">
        <v>28.838000000000001</v>
      </c>
      <c r="N43" s="36">
        <v>30.605</v>
      </c>
      <c r="O43" s="36">
        <v>32.945999999999998</v>
      </c>
      <c r="P43" s="36">
        <v>33.225000000000001</v>
      </c>
      <c r="Q43" s="36">
        <v>32.195</v>
      </c>
      <c r="R43" s="36">
        <v>32.155000000000001</v>
      </c>
      <c r="S43" s="36">
        <v>34.006</v>
      </c>
      <c r="T43" s="36">
        <v>34.802</v>
      </c>
      <c r="U43" s="36">
        <v>36.932000000000002</v>
      </c>
      <c r="V43" s="36">
        <v>38.472000000000001</v>
      </c>
      <c r="W43" s="36">
        <v>40.424999999999997</v>
      </c>
      <c r="X43" s="36">
        <v>42.598999999999997</v>
      </c>
      <c r="Y43" s="36">
        <v>46.042999999999999</v>
      </c>
      <c r="Z43" s="36">
        <v>49.103999999999999</v>
      </c>
      <c r="AA43" s="36">
        <v>51.667999999999999</v>
      </c>
      <c r="AB43" s="36">
        <v>53.186999999999998</v>
      </c>
    </row>
    <row r="44" spans="2:28" x14ac:dyDescent="0.35">
      <c r="B44" s="6" t="s">
        <v>326</v>
      </c>
      <c r="C44" s="36">
        <v>35.93</v>
      </c>
      <c r="D44" s="36">
        <v>36.926000000000002</v>
      </c>
      <c r="E44" s="36">
        <v>45.058</v>
      </c>
      <c r="F44" s="36">
        <v>44.295999999999999</v>
      </c>
      <c r="G44" s="36">
        <v>49.015999999999998</v>
      </c>
      <c r="H44" s="36">
        <v>44.473999999999997</v>
      </c>
      <c r="I44" s="36">
        <v>46.639000000000003</v>
      </c>
      <c r="J44" s="36">
        <v>50.344999999999999</v>
      </c>
      <c r="K44" s="36">
        <v>72.444000000000003</v>
      </c>
      <c r="L44" s="36">
        <v>64.855000000000004</v>
      </c>
      <c r="M44" s="36">
        <v>62.320999999999998</v>
      </c>
      <c r="N44" s="36">
        <v>54.588000000000001</v>
      </c>
      <c r="O44" s="36">
        <v>57.423999999999999</v>
      </c>
      <c r="P44" s="36">
        <v>71.543000000000006</v>
      </c>
      <c r="Q44" s="36">
        <v>64.965999999999994</v>
      </c>
      <c r="R44" s="36">
        <v>72.284000000000006</v>
      </c>
      <c r="S44" s="36">
        <v>74.498999999999995</v>
      </c>
      <c r="T44" s="36">
        <v>79.301000000000002</v>
      </c>
      <c r="U44" s="36">
        <v>83.018000000000001</v>
      </c>
      <c r="V44" s="36">
        <v>82.882000000000005</v>
      </c>
      <c r="W44" s="36">
        <v>82.843000000000004</v>
      </c>
      <c r="X44" s="36">
        <v>122.693</v>
      </c>
      <c r="Y44" s="36">
        <v>102.074</v>
      </c>
      <c r="Z44" s="36">
        <v>133.34700000000001</v>
      </c>
      <c r="AA44" s="36">
        <v>140.13399999999999</v>
      </c>
      <c r="AB44" s="36">
        <v>139.70599999999999</v>
      </c>
    </row>
    <row r="45" spans="2:28" x14ac:dyDescent="0.35">
      <c r="B45" s="2" t="s">
        <v>327</v>
      </c>
      <c r="C45" s="36">
        <v>47.496000000000002</v>
      </c>
      <c r="D45" s="36">
        <v>73.787000000000006</v>
      </c>
      <c r="E45" s="36">
        <v>97.599000000000004</v>
      </c>
      <c r="F45" s="36">
        <v>131.983</v>
      </c>
      <c r="G45" s="36">
        <v>151.77000000000001</v>
      </c>
      <c r="H45" s="36">
        <v>102.717</v>
      </c>
      <c r="I45" s="36">
        <v>66.542000000000002</v>
      </c>
      <c r="J45" s="36">
        <v>22.460999999999999</v>
      </c>
      <c r="K45" s="36">
        <v>40.304000000000002</v>
      </c>
      <c r="L45" s="36">
        <v>26.44</v>
      </c>
      <c r="M45" s="36">
        <v>72.215000000000003</v>
      </c>
      <c r="N45" s="36">
        <v>102.251</v>
      </c>
      <c r="O45" s="36">
        <v>114.03400000000001</v>
      </c>
      <c r="P45" s="36">
        <v>117.627</v>
      </c>
      <c r="Q45" s="36">
        <v>146.00899999999999</v>
      </c>
      <c r="R45" s="36">
        <v>105.657</v>
      </c>
      <c r="S45" s="36">
        <v>97.088999999999999</v>
      </c>
      <c r="T45" s="36">
        <v>112.31699999999999</v>
      </c>
      <c r="U45" s="36">
        <v>141.46799999999999</v>
      </c>
      <c r="V45" s="36">
        <v>183.74600000000001</v>
      </c>
      <c r="W45" s="36">
        <v>131.321</v>
      </c>
      <c r="X45" s="36">
        <v>99.620999999999995</v>
      </c>
      <c r="Y45" s="36">
        <v>142.87200000000001</v>
      </c>
      <c r="Z45" s="36">
        <v>72.921999999999997</v>
      </c>
      <c r="AA45" s="36">
        <v>231.26499999999999</v>
      </c>
      <c r="AB45" s="36">
        <v>284</v>
      </c>
    </row>
    <row r="46" spans="2:28" x14ac:dyDescent="0.35">
      <c r="B46" s="2" t="s">
        <v>328</v>
      </c>
      <c r="C46" s="36">
        <v>71.028999999999996</v>
      </c>
      <c r="D46" s="36">
        <v>79.349000000000004</v>
      </c>
      <c r="E46" s="36">
        <v>88.539000000000001</v>
      </c>
      <c r="F46" s="36">
        <v>92.337000000000003</v>
      </c>
      <c r="G46" s="36">
        <v>93.962999999999994</v>
      </c>
      <c r="H46" s="36">
        <v>120.983</v>
      </c>
      <c r="I46" s="36">
        <v>151.30500000000001</v>
      </c>
      <c r="J46" s="36">
        <v>165.834</v>
      </c>
      <c r="K46" s="36">
        <v>201.16200000000001</v>
      </c>
      <c r="L46" s="36">
        <v>204.02699999999999</v>
      </c>
      <c r="M46" s="36">
        <v>215.07400000000001</v>
      </c>
      <c r="N46" s="36">
        <v>679.43299999999999</v>
      </c>
      <c r="O46" s="36">
        <v>273.577</v>
      </c>
      <c r="P46" s="36">
        <v>575.36800000000005</v>
      </c>
      <c r="Q46" s="36">
        <v>553.68799999999999</v>
      </c>
      <c r="R46" s="36">
        <v>363.33</v>
      </c>
      <c r="S46" s="36">
        <v>367.21199999999999</v>
      </c>
      <c r="T46" s="36">
        <v>377.71</v>
      </c>
      <c r="U46" s="36">
        <v>381.19499999999999</v>
      </c>
      <c r="V46" s="36">
        <v>388.45100000000002</v>
      </c>
      <c r="W46" s="36">
        <v>393.02699999999999</v>
      </c>
      <c r="X46" s="36">
        <v>397.85300000000001</v>
      </c>
      <c r="Y46" s="36">
        <v>455.21899999999999</v>
      </c>
      <c r="Z46" s="36">
        <v>1701.5350000000001</v>
      </c>
      <c r="AA46" s="36">
        <v>3359.7820000000002</v>
      </c>
      <c r="AB46" s="36">
        <v>748.85400000000004</v>
      </c>
    </row>
    <row r="47" spans="2:28" x14ac:dyDescent="0.35">
      <c r="B47" s="6" t="s">
        <v>329</v>
      </c>
      <c r="C47" s="36">
        <v>71.028999999999996</v>
      </c>
      <c r="D47" s="37">
        <v>79.349000000000004</v>
      </c>
      <c r="E47" s="36">
        <v>86.576999999999998</v>
      </c>
      <c r="F47" s="36">
        <v>88.73</v>
      </c>
      <c r="G47" s="36">
        <v>89.896000000000001</v>
      </c>
      <c r="H47" s="36">
        <v>99.423000000000002</v>
      </c>
      <c r="I47" s="36">
        <v>123.989</v>
      </c>
      <c r="J47" s="36">
        <v>127.965</v>
      </c>
      <c r="K47" s="36">
        <v>136.52600000000001</v>
      </c>
      <c r="L47" s="36">
        <v>138.62</v>
      </c>
      <c r="M47" s="36">
        <v>148.08799999999999</v>
      </c>
      <c r="N47" s="36">
        <v>157.89599999999999</v>
      </c>
      <c r="O47" s="36">
        <v>166.404</v>
      </c>
      <c r="P47" s="36">
        <v>213.43199999999999</v>
      </c>
      <c r="Q47" s="36">
        <v>224.137</v>
      </c>
      <c r="R47" s="36">
        <v>234.078</v>
      </c>
      <c r="S47" s="36">
        <v>245.459</v>
      </c>
      <c r="T47" s="36">
        <v>253.71199999999999</v>
      </c>
      <c r="U47" s="36">
        <v>253.73500000000001</v>
      </c>
      <c r="V47" s="36">
        <v>247.905</v>
      </c>
      <c r="W47" s="36">
        <v>234.87100000000001</v>
      </c>
      <c r="X47" s="36">
        <v>225.977</v>
      </c>
      <c r="Y47" s="36">
        <v>221.65299999999999</v>
      </c>
      <c r="Z47" s="36">
        <v>220.65799999999999</v>
      </c>
      <c r="AA47" s="36">
        <v>211.477</v>
      </c>
      <c r="AB47" s="36">
        <v>224.17400000000001</v>
      </c>
    </row>
    <row r="48" spans="2:28" x14ac:dyDescent="0.35">
      <c r="B48" s="6" t="s">
        <v>330</v>
      </c>
      <c r="C48" s="38" t="s">
        <v>331</v>
      </c>
      <c r="D48" s="38" t="s">
        <v>331</v>
      </c>
      <c r="E48" s="36">
        <v>1.962</v>
      </c>
      <c r="F48" s="36">
        <v>3.6070000000000002</v>
      </c>
      <c r="G48" s="36">
        <v>4.0670000000000002</v>
      </c>
      <c r="H48" s="36">
        <v>21.56</v>
      </c>
      <c r="I48" s="38">
        <v>27.277000000000001</v>
      </c>
      <c r="J48" s="38">
        <v>37.47</v>
      </c>
      <c r="K48" s="38">
        <v>64.239000000000004</v>
      </c>
      <c r="L48" s="38">
        <v>64.995000000000005</v>
      </c>
      <c r="M48" s="38">
        <v>66.531000000000006</v>
      </c>
      <c r="N48" s="38">
        <v>68.718999999999994</v>
      </c>
      <c r="O48" s="38">
        <v>91.385999999999996</v>
      </c>
      <c r="P48" s="38">
        <v>79.515000000000001</v>
      </c>
      <c r="Q48" s="38">
        <v>83.212999999999994</v>
      </c>
      <c r="R48" s="38">
        <v>82.507999999999996</v>
      </c>
      <c r="S48" s="38">
        <v>85.207999999999998</v>
      </c>
      <c r="T48" s="38">
        <v>83.792000000000002</v>
      </c>
      <c r="U48" s="38">
        <v>81.207999999999998</v>
      </c>
      <c r="V48" s="38">
        <v>77.328000000000003</v>
      </c>
      <c r="W48" s="38">
        <v>73.686999999999998</v>
      </c>
      <c r="X48" s="36">
        <v>69.498000000000005</v>
      </c>
      <c r="Y48" s="36">
        <v>117.577</v>
      </c>
      <c r="Z48" s="36">
        <v>113.30200000000001</v>
      </c>
      <c r="AA48" s="36">
        <v>445.464</v>
      </c>
      <c r="AB48" s="36">
        <v>338.68900000000002</v>
      </c>
    </row>
    <row r="49" spans="2:28" x14ac:dyDescent="0.35">
      <c r="B49" s="9" t="s">
        <v>332</v>
      </c>
      <c r="C49" s="11" t="s">
        <v>331</v>
      </c>
      <c r="D49" s="11" t="s">
        <v>331</v>
      </c>
      <c r="E49" s="11" t="s">
        <v>331</v>
      </c>
      <c r="F49" s="11" t="s">
        <v>331</v>
      </c>
      <c r="G49" s="11" t="s">
        <v>331</v>
      </c>
      <c r="H49" s="11" t="s">
        <v>331</v>
      </c>
      <c r="I49" s="39">
        <v>3.9E-2</v>
      </c>
      <c r="J49" s="39">
        <v>0.39900000000000002</v>
      </c>
      <c r="K49" s="39">
        <v>0.39700000000000002</v>
      </c>
      <c r="L49" s="39">
        <v>0.41199999999999998</v>
      </c>
      <c r="M49" s="39">
        <v>0.45500000000000002</v>
      </c>
      <c r="N49" s="39">
        <v>452.81799999999998</v>
      </c>
      <c r="O49" s="39">
        <v>15.787000000000001</v>
      </c>
      <c r="P49" s="39">
        <v>282.42099999999999</v>
      </c>
      <c r="Q49" s="39">
        <v>246.33799999999999</v>
      </c>
      <c r="R49" s="39">
        <v>46.744</v>
      </c>
      <c r="S49" s="39">
        <v>36.545000000000002</v>
      </c>
      <c r="T49" s="39">
        <v>40.206000000000003</v>
      </c>
      <c r="U49" s="39">
        <v>46.252000000000002</v>
      </c>
      <c r="V49" s="39">
        <v>63.218000000000004</v>
      </c>
      <c r="W49" s="39">
        <v>84.468999999999994</v>
      </c>
      <c r="X49" s="39">
        <v>102.378</v>
      </c>
      <c r="Y49" s="39">
        <v>115.989</v>
      </c>
      <c r="Z49" s="39">
        <v>1367.575</v>
      </c>
      <c r="AA49" s="39">
        <v>2702.8409999999999</v>
      </c>
      <c r="AB49" s="39">
        <v>185.99100000000001</v>
      </c>
    </row>
    <row r="51" spans="2:28" x14ac:dyDescent="0.35">
      <c r="B51" s="12" t="s">
        <v>25</v>
      </c>
    </row>
    <row r="55" spans="2:28" x14ac:dyDescent="0.35">
      <c r="B55" s="2" t="s">
        <v>333</v>
      </c>
    </row>
    <row r="56" spans="2:28" x14ac:dyDescent="0.35">
      <c r="B56" s="13" t="s">
        <v>334</v>
      </c>
    </row>
    <row r="58" spans="2:28" x14ac:dyDescent="0.35">
      <c r="B58" s="2" t="s">
        <v>335</v>
      </c>
    </row>
    <row r="59" spans="2:28" x14ac:dyDescent="0.35">
      <c r="B59" s="2" t="s">
        <v>336</v>
      </c>
    </row>
  </sheetData>
  <hyperlinks>
    <hyperlink ref="B51" r:id="rId1" xr:uid="{138AFB28-17B1-4D30-87AC-A85A13F95742}"/>
    <hyperlink ref="B56" r:id="rId2" xr:uid="{69F7B587-8F90-420F-AD2E-6B19193AD569}"/>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18B68-B455-4D4A-BE2B-E285E60001DD}">
  <dimension ref="B2:AB31"/>
  <sheetViews>
    <sheetView workbookViewId="0">
      <pane xSplit="2" ySplit="5" topLeftCell="C7" activePane="bottomRight" state="frozen"/>
      <selection pane="topRight" activeCell="C1" sqref="C1"/>
      <selection pane="bottomLeft" activeCell="A6" sqref="A6"/>
      <selection pane="bottomRight" activeCell="B20" sqref="B20"/>
    </sheetView>
  </sheetViews>
  <sheetFormatPr defaultColWidth="8.7265625" defaultRowHeight="14.5" x14ac:dyDescent="0.35"/>
  <cols>
    <col min="1" max="1" width="8.7265625" style="2"/>
    <col min="2" max="2" width="57.7265625" style="2" customWidth="1"/>
    <col min="3" max="16384" width="8.7265625" style="2"/>
  </cols>
  <sheetData>
    <row r="2" spans="2:28" x14ac:dyDescent="0.35">
      <c r="B2" s="1" t="s">
        <v>345</v>
      </c>
    </row>
    <row r="3" spans="2:28" x14ac:dyDescent="0.35">
      <c r="B3" s="3" t="s">
        <v>3</v>
      </c>
    </row>
    <row r="5" spans="2:28" x14ac:dyDescent="0.35">
      <c r="B5" s="5"/>
      <c r="C5" s="5">
        <v>1997</v>
      </c>
      <c r="D5" s="5">
        <v>1998</v>
      </c>
      <c r="E5" s="5">
        <v>1999</v>
      </c>
      <c r="F5" s="5">
        <v>2000</v>
      </c>
      <c r="G5" s="5">
        <v>2001</v>
      </c>
      <c r="H5" s="5">
        <v>2002</v>
      </c>
      <c r="I5" s="5">
        <v>2003</v>
      </c>
      <c r="J5" s="5">
        <v>2004</v>
      </c>
      <c r="K5" s="5">
        <v>2005</v>
      </c>
      <c r="L5" s="5">
        <v>2006</v>
      </c>
      <c r="M5" s="5">
        <v>2007</v>
      </c>
      <c r="N5" s="5">
        <v>2008</v>
      </c>
      <c r="O5" s="5">
        <v>2009</v>
      </c>
      <c r="P5" s="5">
        <v>2010</v>
      </c>
      <c r="Q5" s="5">
        <v>2011</v>
      </c>
      <c r="R5" s="5">
        <v>2012</v>
      </c>
      <c r="S5" s="5">
        <v>2013</v>
      </c>
      <c r="T5" s="5">
        <v>2014</v>
      </c>
      <c r="U5" s="5">
        <v>2015</v>
      </c>
      <c r="V5" s="5">
        <v>2016</v>
      </c>
      <c r="W5" s="5">
        <v>2017</v>
      </c>
      <c r="X5" s="5">
        <v>2018</v>
      </c>
      <c r="Y5" s="5">
        <v>2019</v>
      </c>
      <c r="Z5" s="5">
        <v>2020</v>
      </c>
      <c r="AA5" s="5">
        <v>2021</v>
      </c>
      <c r="AB5" s="5">
        <v>2022</v>
      </c>
    </row>
    <row r="6" spans="2:28" x14ac:dyDescent="0.35">
      <c r="B6" s="2" t="s">
        <v>346</v>
      </c>
      <c r="C6" s="4">
        <v>26673.8</v>
      </c>
      <c r="D6" s="4">
        <v>27488.799999999999</v>
      </c>
      <c r="E6" s="4">
        <v>28515.200000000001</v>
      </c>
      <c r="F6" s="4">
        <v>30345.4</v>
      </c>
      <c r="G6" s="4">
        <v>31527.9</v>
      </c>
      <c r="H6" s="4">
        <v>32673.8</v>
      </c>
      <c r="I6" s="4">
        <v>34793.599999999999</v>
      </c>
      <c r="J6" s="4">
        <v>37263.4</v>
      </c>
      <c r="K6" s="4">
        <v>40427.1</v>
      </c>
      <c r="L6" s="4">
        <v>43283.7</v>
      </c>
      <c r="M6" s="4">
        <v>45387.4</v>
      </c>
      <c r="N6" s="4">
        <v>47392.4</v>
      </c>
      <c r="O6" s="4">
        <v>46971.6</v>
      </c>
      <c r="P6" s="4">
        <v>48013.4</v>
      </c>
      <c r="Q6" s="4">
        <v>49781.599999999999</v>
      </c>
      <c r="R6" s="4">
        <v>51522.3</v>
      </c>
      <c r="S6" s="4">
        <v>53755.6</v>
      </c>
      <c r="T6" s="4">
        <v>55526.2</v>
      </c>
      <c r="U6" s="4">
        <v>57197.599999999999</v>
      </c>
      <c r="V6" s="4">
        <v>58616.6</v>
      </c>
      <c r="W6" s="4">
        <v>61319.4</v>
      </c>
      <c r="X6" s="4">
        <v>63974.400000000001</v>
      </c>
      <c r="Y6" s="4">
        <v>66783.5</v>
      </c>
      <c r="Z6" s="4">
        <v>63900.800000000003</v>
      </c>
      <c r="AA6" s="4">
        <v>71696.3</v>
      </c>
      <c r="AB6" s="4">
        <v>78713.600000000006</v>
      </c>
    </row>
    <row r="7" spans="2:28" x14ac:dyDescent="0.35">
      <c r="B7" s="2" t="s">
        <v>347</v>
      </c>
      <c r="C7" s="4">
        <v>8871.4</v>
      </c>
      <c r="D7" s="4">
        <v>8899.4</v>
      </c>
      <c r="E7" s="4">
        <v>9459.5</v>
      </c>
      <c r="F7" s="4">
        <v>10037.6</v>
      </c>
      <c r="G7" s="4">
        <v>10344</v>
      </c>
      <c r="H7" s="4">
        <v>10625.4</v>
      </c>
      <c r="I7" s="4">
        <v>11375.1</v>
      </c>
      <c r="J7" s="4">
        <v>12244.8</v>
      </c>
      <c r="K7" s="4">
        <v>13213.9</v>
      </c>
      <c r="L7" s="4">
        <v>13947.2</v>
      </c>
      <c r="M7" s="4">
        <v>14366.8</v>
      </c>
      <c r="N7" s="4">
        <v>14497.8</v>
      </c>
      <c r="O7" s="4">
        <v>14093.1</v>
      </c>
      <c r="P7" s="4">
        <v>14570.1</v>
      </c>
      <c r="Q7" s="4">
        <v>15408.2</v>
      </c>
      <c r="R7" s="4">
        <v>15921.2</v>
      </c>
      <c r="S7" s="4">
        <v>16358.9</v>
      </c>
      <c r="T7" s="4">
        <v>16825.2</v>
      </c>
      <c r="U7" s="4">
        <v>16988.400000000001</v>
      </c>
      <c r="V7" s="4">
        <v>17445.3</v>
      </c>
      <c r="W7" s="4">
        <v>18145.3</v>
      </c>
      <c r="X7" s="4">
        <v>19050.3</v>
      </c>
      <c r="Y7" s="4">
        <v>19538.3</v>
      </c>
      <c r="Z7" s="4">
        <v>19431.7</v>
      </c>
      <c r="AA7" s="4">
        <v>22129.200000000001</v>
      </c>
      <c r="AB7" s="4">
        <v>23803.5</v>
      </c>
    </row>
    <row r="8" spans="2:28" x14ac:dyDescent="0.35">
      <c r="B8" s="6" t="s">
        <v>348</v>
      </c>
      <c r="C8" s="4">
        <v>2230.9</v>
      </c>
      <c r="D8" s="4">
        <v>2306</v>
      </c>
      <c r="E8" s="4">
        <v>2533.1</v>
      </c>
      <c r="F8" s="4">
        <v>2750.3</v>
      </c>
      <c r="G8" s="4">
        <v>2958</v>
      </c>
      <c r="H8" s="4">
        <v>3273</v>
      </c>
      <c r="I8" s="4">
        <v>3691.1</v>
      </c>
      <c r="J8" s="4">
        <v>4014.3</v>
      </c>
      <c r="K8" s="4">
        <v>4256.2</v>
      </c>
      <c r="L8" s="4">
        <v>4337.7</v>
      </c>
      <c r="M8" s="4">
        <v>4379.8999999999996</v>
      </c>
      <c r="N8" s="4">
        <v>4013.7</v>
      </c>
      <c r="O8" s="4">
        <v>3646.8</v>
      </c>
      <c r="P8" s="4">
        <v>3718.4</v>
      </c>
      <c r="Q8" s="4">
        <v>3874.4</v>
      </c>
      <c r="R8" s="4">
        <v>4065</v>
      </c>
      <c r="S8" s="4">
        <v>4234.2</v>
      </c>
      <c r="T8" s="4">
        <v>4453.6000000000004</v>
      </c>
      <c r="U8" s="4">
        <v>4686.1000000000004</v>
      </c>
      <c r="V8" s="4">
        <v>4836.1000000000004</v>
      </c>
      <c r="W8" s="4">
        <v>5042.7</v>
      </c>
      <c r="X8" s="4">
        <v>5268.2</v>
      </c>
      <c r="Y8" s="4">
        <v>5308.8</v>
      </c>
      <c r="Z8" s="4">
        <v>5517.8</v>
      </c>
      <c r="AA8" s="4">
        <v>6721.3</v>
      </c>
      <c r="AB8" s="4">
        <v>7162.1</v>
      </c>
    </row>
    <row r="9" spans="2:28" x14ac:dyDescent="0.35">
      <c r="B9" s="8" t="s">
        <v>349</v>
      </c>
      <c r="C9" s="4">
        <v>862</v>
      </c>
      <c r="D9" s="4">
        <v>917.5</v>
      </c>
      <c r="E9" s="4">
        <v>1032.9000000000001</v>
      </c>
      <c r="F9" s="4">
        <v>1148.9000000000001</v>
      </c>
      <c r="G9" s="4">
        <v>1270.0999999999999</v>
      </c>
      <c r="H9" s="4">
        <v>1497.6</v>
      </c>
      <c r="I9" s="4">
        <v>1717.7</v>
      </c>
      <c r="J9" s="4">
        <v>1788</v>
      </c>
      <c r="K9" s="4">
        <v>1770.6</v>
      </c>
      <c r="L9" s="4">
        <v>1672</v>
      </c>
      <c r="M9" s="4">
        <v>1620.4</v>
      </c>
      <c r="N9" s="4">
        <v>1322.8</v>
      </c>
      <c r="O9" s="4">
        <v>1186.9000000000001</v>
      </c>
      <c r="P9" s="4">
        <v>1228.8</v>
      </c>
      <c r="Q9" s="4">
        <v>1316.1</v>
      </c>
      <c r="R9" s="4">
        <v>1418.9</v>
      </c>
      <c r="S9" s="4">
        <v>1551.5</v>
      </c>
      <c r="T9" s="4">
        <v>1676.4</v>
      </c>
      <c r="U9" s="4">
        <v>1841.4</v>
      </c>
      <c r="V9" s="4">
        <v>1929.9</v>
      </c>
      <c r="W9" s="4">
        <v>2029.2</v>
      </c>
      <c r="X9" s="4">
        <v>2080.1999999999998</v>
      </c>
      <c r="Y9" s="4">
        <v>2020.8</v>
      </c>
      <c r="Z9" s="4">
        <v>2011.7</v>
      </c>
      <c r="AA9" s="4">
        <v>2463.5</v>
      </c>
      <c r="AB9" s="4">
        <v>2559</v>
      </c>
    </row>
    <row r="10" spans="2:28" x14ac:dyDescent="0.35">
      <c r="B10" s="8" t="s">
        <v>350</v>
      </c>
      <c r="C10" s="4">
        <v>587.29999999999995</v>
      </c>
      <c r="D10" s="4">
        <v>594.5</v>
      </c>
      <c r="E10" s="4">
        <v>641.1</v>
      </c>
      <c r="F10" s="4">
        <v>692.9</v>
      </c>
      <c r="G10" s="4">
        <v>760.4</v>
      </c>
      <c r="H10" s="4">
        <v>809.2</v>
      </c>
      <c r="I10" s="4">
        <v>902</v>
      </c>
      <c r="J10" s="4">
        <v>1018</v>
      </c>
      <c r="K10" s="4">
        <v>1144.4000000000001</v>
      </c>
      <c r="L10" s="4">
        <v>1186.2</v>
      </c>
      <c r="M10" s="4">
        <v>1187</v>
      </c>
      <c r="N10" s="4">
        <v>1142.2</v>
      </c>
      <c r="O10" s="4">
        <v>1039.5999999999999</v>
      </c>
      <c r="P10" s="4">
        <v>1043.2</v>
      </c>
      <c r="Q10" s="4">
        <v>1061.3</v>
      </c>
      <c r="R10" s="4">
        <v>1092.9000000000001</v>
      </c>
      <c r="S10" s="4">
        <v>1133.4000000000001</v>
      </c>
      <c r="T10" s="4">
        <v>1192.9000000000001</v>
      </c>
      <c r="U10" s="4">
        <v>1253.9000000000001</v>
      </c>
      <c r="V10" s="4">
        <v>1316.3</v>
      </c>
      <c r="W10" s="4">
        <v>1386.9</v>
      </c>
      <c r="X10" s="4">
        <v>1469.4</v>
      </c>
      <c r="Y10" s="4">
        <v>1499.6</v>
      </c>
      <c r="Z10" s="4">
        <v>1611.3</v>
      </c>
      <c r="AA10" s="4">
        <v>1831</v>
      </c>
      <c r="AB10" s="4">
        <v>1948</v>
      </c>
    </row>
    <row r="11" spans="2:28" x14ac:dyDescent="0.35">
      <c r="B11" s="8" t="s">
        <v>351</v>
      </c>
      <c r="C11" s="4">
        <v>403.8</v>
      </c>
      <c r="D11" s="4">
        <v>412.7</v>
      </c>
      <c r="E11" s="4">
        <v>462</v>
      </c>
      <c r="F11" s="4">
        <v>496.9</v>
      </c>
      <c r="G11" s="4">
        <v>535.29999999999995</v>
      </c>
      <c r="H11" s="4">
        <v>575.79999999999995</v>
      </c>
      <c r="I11" s="4">
        <v>645</v>
      </c>
      <c r="J11" s="4">
        <v>739.5</v>
      </c>
      <c r="K11" s="4">
        <v>821.5</v>
      </c>
      <c r="L11" s="4">
        <v>906.8</v>
      </c>
      <c r="M11" s="4">
        <v>957.7</v>
      </c>
      <c r="N11" s="4">
        <v>935.9</v>
      </c>
      <c r="O11" s="4">
        <v>817.3</v>
      </c>
      <c r="P11" s="4">
        <v>810.6</v>
      </c>
      <c r="Q11" s="4">
        <v>806.4</v>
      </c>
      <c r="R11" s="4">
        <v>835.4</v>
      </c>
      <c r="S11" s="4">
        <v>839.5</v>
      </c>
      <c r="T11" s="4">
        <v>848.3</v>
      </c>
      <c r="U11" s="4">
        <v>847.1</v>
      </c>
      <c r="V11" s="4">
        <v>836.8</v>
      </c>
      <c r="W11" s="4">
        <v>852.9</v>
      </c>
      <c r="X11" s="4">
        <v>905.9</v>
      </c>
      <c r="Y11" s="4">
        <v>948.2</v>
      </c>
      <c r="Z11" s="4">
        <v>1162.5</v>
      </c>
      <c r="AA11" s="4">
        <v>1514.2</v>
      </c>
      <c r="AB11" s="4">
        <v>1677.1</v>
      </c>
    </row>
    <row r="12" spans="2:28" x14ac:dyDescent="0.35">
      <c r="B12" s="8" t="s">
        <v>352</v>
      </c>
      <c r="C12" s="4">
        <v>377.8</v>
      </c>
      <c r="D12" s="4">
        <v>381.2</v>
      </c>
      <c r="E12" s="4">
        <v>397.1</v>
      </c>
      <c r="F12" s="4">
        <v>411.6</v>
      </c>
      <c r="G12" s="4">
        <v>392.3</v>
      </c>
      <c r="H12" s="4">
        <v>390.4</v>
      </c>
      <c r="I12" s="4">
        <v>426.4</v>
      </c>
      <c r="J12" s="4">
        <v>468.8</v>
      </c>
      <c r="K12" s="4">
        <v>519.79999999999995</v>
      </c>
      <c r="L12" s="4">
        <v>572.79999999999995</v>
      </c>
      <c r="M12" s="4">
        <v>614.79999999999995</v>
      </c>
      <c r="N12" s="4">
        <v>612.70000000000005</v>
      </c>
      <c r="O12" s="4">
        <v>603</v>
      </c>
      <c r="P12" s="4">
        <v>635.79999999999995</v>
      </c>
      <c r="Q12" s="4">
        <v>690.6</v>
      </c>
      <c r="R12" s="4">
        <v>717.8</v>
      </c>
      <c r="S12" s="4">
        <v>709.9</v>
      </c>
      <c r="T12" s="4">
        <v>736</v>
      </c>
      <c r="U12" s="4">
        <v>743.7</v>
      </c>
      <c r="V12" s="4">
        <v>753.1</v>
      </c>
      <c r="W12" s="4">
        <v>773.7</v>
      </c>
      <c r="X12" s="4">
        <v>812.7</v>
      </c>
      <c r="Y12" s="4">
        <v>840.1</v>
      </c>
      <c r="Z12" s="4">
        <v>732.3</v>
      </c>
      <c r="AA12" s="4">
        <v>912.6</v>
      </c>
      <c r="AB12" s="4">
        <v>978</v>
      </c>
    </row>
    <row r="13" spans="2:28" x14ac:dyDescent="0.35">
      <c r="B13" s="6" t="s">
        <v>353</v>
      </c>
      <c r="C13" s="4">
        <v>6640.4</v>
      </c>
      <c r="D13" s="4">
        <v>6593.4</v>
      </c>
      <c r="E13" s="4">
        <v>6926.4</v>
      </c>
      <c r="F13" s="4">
        <v>7287.3</v>
      </c>
      <c r="G13" s="4">
        <v>7386</v>
      </c>
      <c r="H13" s="4">
        <v>7352.5</v>
      </c>
      <c r="I13" s="4">
        <v>7684</v>
      </c>
      <c r="J13" s="4">
        <v>8230.5</v>
      </c>
      <c r="K13" s="4">
        <v>8957.7000000000007</v>
      </c>
      <c r="L13" s="4">
        <v>9609.5</v>
      </c>
      <c r="M13" s="4">
        <v>9986.9</v>
      </c>
      <c r="N13" s="4">
        <v>10484.200000000001</v>
      </c>
      <c r="O13" s="4">
        <v>10446.299999999999</v>
      </c>
      <c r="P13" s="4">
        <v>10851.7</v>
      </c>
      <c r="Q13" s="4">
        <v>11533.8</v>
      </c>
      <c r="R13" s="4">
        <v>11856.2</v>
      </c>
      <c r="S13" s="4">
        <v>12124.7</v>
      </c>
      <c r="T13" s="4">
        <v>12371.6</v>
      </c>
      <c r="U13" s="4">
        <v>12302.3</v>
      </c>
      <c r="V13" s="4">
        <v>12609.2</v>
      </c>
      <c r="W13" s="4">
        <v>13102.5</v>
      </c>
      <c r="X13" s="4">
        <v>13782.1</v>
      </c>
      <c r="Y13" s="4">
        <v>14229.5</v>
      </c>
      <c r="Z13" s="4">
        <v>13913.9</v>
      </c>
      <c r="AA13" s="4">
        <v>15407.9</v>
      </c>
      <c r="AB13" s="4">
        <v>16641.400000000001</v>
      </c>
    </row>
    <row r="14" spans="2:28" x14ac:dyDescent="0.35">
      <c r="B14" s="8" t="s">
        <v>354</v>
      </c>
      <c r="C14" s="4">
        <v>2581</v>
      </c>
      <c r="D14" s="4">
        <v>2617.8000000000002</v>
      </c>
      <c r="E14" s="4">
        <v>2750.4</v>
      </c>
      <c r="F14" s="4">
        <v>2859.5</v>
      </c>
      <c r="G14" s="4">
        <v>2970.3</v>
      </c>
      <c r="H14" s="4">
        <v>3008.9</v>
      </c>
      <c r="I14" s="4">
        <v>3084.2</v>
      </c>
      <c r="J14" s="4">
        <v>3288.2</v>
      </c>
      <c r="K14" s="4">
        <v>3552.8</v>
      </c>
      <c r="L14" s="4">
        <v>3768</v>
      </c>
      <c r="M14" s="4">
        <v>3960.7</v>
      </c>
      <c r="N14" s="4">
        <v>4163.6000000000004</v>
      </c>
      <c r="O14" s="4">
        <v>4380.3</v>
      </c>
      <c r="P14" s="4">
        <v>4480</v>
      </c>
      <c r="Q14" s="4">
        <v>4683.8</v>
      </c>
      <c r="R14" s="4">
        <v>4725.3</v>
      </c>
      <c r="S14" s="4">
        <v>4896.8999999999996</v>
      </c>
      <c r="T14" s="4">
        <v>5022.1000000000004</v>
      </c>
      <c r="U14" s="4">
        <v>5107.7</v>
      </c>
      <c r="V14" s="4">
        <v>5271.1</v>
      </c>
      <c r="W14" s="4">
        <v>5507.3</v>
      </c>
      <c r="X14" s="4">
        <v>5795.9</v>
      </c>
      <c r="Y14" s="4">
        <v>6078</v>
      </c>
      <c r="Z14" s="4">
        <v>6567.2</v>
      </c>
      <c r="AA14" s="4">
        <v>7088.3</v>
      </c>
      <c r="AB14" s="4">
        <v>7664</v>
      </c>
    </row>
    <row r="15" spans="2:28" x14ac:dyDescent="0.35">
      <c r="B15" s="8" t="s">
        <v>355</v>
      </c>
      <c r="C15" s="4">
        <v>1524.5</v>
      </c>
      <c r="D15" s="4">
        <v>1427.4</v>
      </c>
      <c r="E15" s="4">
        <v>1416.4</v>
      </c>
      <c r="F15" s="4">
        <v>1427.9</v>
      </c>
      <c r="G15" s="4">
        <v>1361.3</v>
      </c>
      <c r="H15" s="4">
        <v>1252.2</v>
      </c>
      <c r="I15" s="4">
        <v>1289.9000000000001</v>
      </c>
      <c r="J15" s="4">
        <v>1356.5</v>
      </c>
      <c r="K15" s="4">
        <v>1471.5</v>
      </c>
      <c r="L15" s="4">
        <v>1514.3</v>
      </c>
      <c r="M15" s="4">
        <v>1508.7</v>
      </c>
      <c r="N15" s="4">
        <v>1504.3</v>
      </c>
      <c r="O15" s="4">
        <v>1447</v>
      </c>
      <c r="P15" s="4">
        <v>1533.7</v>
      </c>
      <c r="Q15" s="4">
        <v>1677.9</v>
      </c>
      <c r="R15" s="4">
        <v>1796.6</v>
      </c>
      <c r="S15" s="4">
        <v>1824</v>
      </c>
      <c r="T15" s="4">
        <v>1885.3</v>
      </c>
      <c r="U15" s="4">
        <v>1906.2</v>
      </c>
      <c r="V15" s="4">
        <v>1972.8</v>
      </c>
      <c r="W15" s="4">
        <v>2057.1</v>
      </c>
      <c r="X15" s="4">
        <v>2161</v>
      </c>
      <c r="Y15" s="4">
        <v>2154.3000000000002</v>
      </c>
      <c r="Z15" s="4">
        <v>1549.3</v>
      </c>
      <c r="AA15" s="4">
        <v>1950.6</v>
      </c>
      <c r="AB15" s="4">
        <v>2081.6999999999998</v>
      </c>
    </row>
    <row r="16" spans="2:28" x14ac:dyDescent="0.35">
      <c r="B16" s="8" t="s">
        <v>356</v>
      </c>
      <c r="C16" s="4">
        <v>524.70000000000005</v>
      </c>
      <c r="D16" s="4">
        <v>461.5</v>
      </c>
      <c r="E16" s="4">
        <v>492.5</v>
      </c>
      <c r="F16" s="4">
        <v>602.29999999999995</v>
      </c>
      <c r="G16" s="4">
        <v>552.70000000000005</v>
      </c>
      <c r="H16" s="4">
        <v>524.1</v>
      </c>
      <c r="I16" s="4">
        <v>609</v>
      </c>
      <c r="J16" s="4">
        <v>726.5</v>
      </c>
      <c r="K16" s="4">
        <v>867.7</v>
      </c>
      <c r="L16" s="4">
        <v>1015.9</v>
      </c>
      <c r="M16" s="4">
        <v>1076.0999999999999</v>
      </c>
      <c r="N16" s="4">
        <v>1232</v>
      </c>
      <c r="O16" s="4">
        <v>896.7</v>
      </c>
      <c r="P16" s="4">
        <v>1024.5999999999999</v>
      </c>
      <c r="Q16" s="4">
        <v>1189.0999999999999</v>
      </c>
      <c r="R16" s="4">
        <v>1179</v>
      </c>
      <c r="S16" s="4">
        <v>1149.5</v>
      </c>
      <c r="T16" s="4">
        <v>1095.2</v>
      </c>
      <c r="U16" s="4">
        <v>823.9</v>
      </c>
      <c r="V16" s="4">
        <v>806.1</v>
      </c>
      <c r="W16" s="4">
        <v>916.1</v>
      </c>
      <c r="X16" s="4">
        <v>1044.3</v>
      </c>
      <c r="Y16" s="4">
        <v>968.3</v>
      </c>
      <c r="Z16" s="4">
        <v>645.70000000000005</v>
      </c>
      <c r="AA16" s="4">
        <v>923.8</v>
      </c>
      <c r="AB16" s="4">
        <v>1171.7</v>
      </c>
    </row>
    <row r="17" spans="2:28" x14ac:dyDescent="0.35">
      <c r="B17" s="8" t="s">
        <v>357</v>
      </c>
      <c r="C17" s="4">
        <v>2010.2</v>
      </c>
      <c r="D17" s="4">
        <v>2086.6999999999998</v>
      </c>
      <c r="E17" s="4">
        <v>2267.1</v>
      </c>
      <c r="F17" s="4">
        <v>2397.6</v>
      </c>
      <c r="G17" s="4">
        <v>2501.6999999999998</v>
      </c>
      <c r="H17" s="4">
        <v>2567.3000000000002</v>
      </c>
      <c r="I17" s="4">
        <v>2700.9</v>
      </c>
      <c r="J17" s="4">
        <v>2859.3</v>
      </c>
      <c r="K17" s="4">
        <v>3065.7</v>
      </c>
      <c r="L17" s="4">
        <v>3311.3</v>
      </c>
      <c r="M17" s="4">
        <v>3441.3</v>
      </c>
      <c r="N17" s="4">
        <v>3584.3</v>
      </c>
      <c r="O17" s="4">
        <v>3722.3</v>
      </c>
      <c r="P17" s="4">
        <v>3813.4</v>
      </c>
      <c r="Q17" s="4">
        <v>3983</v>
      </c>
      <c r="R17" s="4">
        <v>4155.2</v>
      </c>
      <c r="S17" s="4">
        <v>4254.3999999999996</v>
      </c>
      <c r="T17" s="4">
        <v>4369</v>
      </c>
      <c r="U17" s="4">
        <v>4464.5</v>
      </c>
      <c r="V17" s="4">
        <v>4559.2</v>
      </c>
      <c r="W17" s="4">
        <v>4622</v>
      </c>
      <c r="X17" s="4">
        <v>4780.8999999999996</v>
      </c>
      <c r="Y17" s="4">
        <v>5029</v>
      </c>
      <c r="Z17" s="4">
        <v>5151.6000000000004</v>
      </c>
      <c r="AA17" s="4">
        <v>5445.3</v>
      </c>
      <c r="AB17" s="4">
        <v>5724</v>
      </c>
    </row>
    <row r="18" spans="2:28" x14ac:dyDescent="0.35">
      <c r="B18" s="2" t="s">
        <v>358</v>
      </c>
      <c r="C18" s="4">
        <v>17802.400000000001</v>
      </c>
      <c r="D18" s="4">
        <v>18589.400000000001</v>
      </c>
      <c r="E18" s="4">
        <v>19055.599999999999</v>
      </c>
      <c r="F18" s="4">
        <v>20307.8</v>
      </c>
      <c r="G18" s="4">
        <v>21183.9</v>
      </c>
      <c r="H18" s="4">
        <v>22048.400000000001</v>
      </c>
      <c r="I18" s="4">
        <v>23418.6</v>
      </c>
      <c r="J18" s="4">
        <v>25018.6</v>
      </c>
      <c r="K18" s="4">
        <v>27213.1</v>
      </c>
      <c r="L18" s="4">
        <v>29336.5</v>
      </c>
      <c r="M18" s="4">
        <v>31020.6</v>
      </c>
      <c r="N18" s="4">
        <v>32894.6</v>
      </c>
      <c r="O18" s="4">
        <v>32878.5</v>
      </c>
      <c r="P18" s="4">
        <v>33443.199999999997</v>
      </c>
      <c r="Q18" s="4">
        <v>34373.4</v>
      </c>
      <c r="R18" s="4">
        <v>35601.1</v>
      </c>
      <c r="S18" s="4">
        <v>37396.699999999997</v>
      </c>
      <c r="T18" s="4">
        <v>38701</v>
      </c>
      <c r="U18" s="4">
        <v>40209.199999999997</v>
      </c>
      <c r="V18" s="4">
        <v>41171.4</v>
      </c>
      <c r="W18" s="4">
        <v>43174.1</v>
      </c>
      <c r="X18" s="4">
        <v>44924.1</v>
      </c>
      <c r="Y18" s="4">
        <v>47245.2</v>
      </c>
      <c r="Z18" s="4">
        <v>44469.1</v>
      </c>
      <c r="AA18" s="4">
        <v>49567.1</v>
      </c>
      <c r="AB18" s="4">
        <v>54910.1</v>
      </c>
    </row>
    <row r="19" spans="2:28" x14ac:dyDescent="0.35">
      <c r="B19" s="6" t="s">
        <v>359</v>
      </c>
      <c r="C19" s="4">
        <v>16955.7</v>
      </c>
      <c r="D19" s="4">
        <v>17606.400000000001</v>
      </c>
      <c r="E19" s="4">
        <v>18110.599999999999</v>
      </c>
      <c r="F19" s="4">
        <v>19236.8</v>
      </c>
      <c r="G19" s="4">
        <v>20032.900000000001</v>
      </c>
      <c r="H19" s="4">
        <v>20778.400000000001</v>
      </c>
      <c r="I19" s="4">
        <v>22032.6</v>
      </c>
      <c r="J19" s="4">
        <v>23588.6</v>
      </c>
      <c r="K19" s="4">
        <v>25600.1</v>
      </c>
      <c r="L19" s="4">
        <v>27409.5</v>
      </c>
      <c r="M19" s="4">
        <v>29074.6</v>
      </c>
      <c r="N19" s="4">
        <v>30724.2</v>
      </c>
      <c r="O19" s="4">
        <v>30754.3</v>
      </c>
      <c r="P19" s="4">
        <v>31314.6</v>
      </c>
      <c r="Q19" s="4">
        <v>32178.3</v>
      </c>
      <c r="R19" s="4">
        <v>33178.9</v>
      </c>
      <c r="S19" s="4">
        <v>34994.199999999997</v>
      </c>
      <c r="T19" s="4">
        <v>36255.300000000003</v>
      </c>
      <c r="U19" s="4">
        <v>37793.800000000003</v>
      </c>
      <c r="V19" s="4">
        <v>38615.5</v>
      </c>
      <c r="W19" s="4">
        <v>40563</v>
      </c>
      <c r="X19" s="4">
        <v>42146.1</v>
      </c>
      <c r="Y19" s="4">
        <v>44435</v>
      </c>
      <c r="Z19" s="4">
        <v>41236.699999999997</v>
      </c>
      <c r="AA19" s="4">
        <v>46625.2</v>
      </c>
      <c r="AB19" s="4">
        <v>51508.9</v>
      </c>
    </row>
    <row r="20" spans="2:28" x14ac:dyDescent="0.35">
      <c r="B20" s="8" t="s">
        <v>360</v>
      </c>
      <c r="C20" s="4">
        <v>5005.7</v>
      </c>
      <c r="D20" s="4">
        <v>5288.6</v>
      </c>
      <c r="E20" s="4">
        <v>5547.1</v>
      </c>
      <c r="F20" s="4">
        <v>5864.1</v>
      </c>
      <c r="G20" s="4">
        <v>6265.8</v>
      </c>
      <c r="H20" s="4">
        <v>6488.4</v>
      </c>
      <c r="I20" s="4">
        <v>6737.2</v>
      </c>
      <c r="J20" s="4">
        <v>7098.9</v>
      </c>
      <c r="K20" s="4">
        <v>7731.1</v>
      </c>
      <c r="L20" s="4">
        <v>8379.9</v>
      </c>
      <c r="M20" s="4">
        <v>9092.7000000000007</v>
      </c>
      <c r="N20" s="4">
        <v>10038.700000000001</v>
      </c>
      <c r="O20" s="4">
        <v>10224.799999999999</v>
      </c>
      <c r="P20" s="4">
        <v>10162.700000000001</v>
      </c>
      <c r="Q20" s="4">
        <v>10221.6</v>
      </c>
      <c r="R20" s="4">
        <v>10523.4</v>
      </c>
      <c r="S20" s="4">
        <v>11616.5</v>
      </c>
      <c r="T20" s="4">
        <v>11721</v>
      </c>
      <c r="U20" s="4">
        <v>12025.1</v>
      </c>
      <c r="V20" s="4">
        <v>12166</v>
      </c>
      <c r="W20" s="4">
        <v>12643.4</v>
      </c>
      <c r="X20" s="4">
        <v>12794.4</v>
      </c>
      <c r="Y20" s="4">
        <v>13585.6</v>
      </c>
      <c r="Z20" s="4">
        <v>14241.9</v>
      </c>
      <c r="AA20" s="4">
        <v>14741.4</v>
      </c>
      <c r="AB20" s="4">
        <v>15923.6</v>
      </c>
    </row>
    <row r="21" spans="2:28" x14ac:dyDescent="0.35">
      <c r="B21" s="8" t="s">
        <v>361</v>
      </c>
      <c r="C21" s="4">
        <v>3827.6</v>
      </c>
      <c r="D21" s="4">
        <v>3884.5</v>
      </c>
      <c r="E21" s="4">
        <v>3903</v>
      </c>
      <c r="F21" s="4">
        <v>4064.5</v>
      </c>
      <c r="G21" s="4">
        <v>4340.2</v>
      </c>
      <c r="H21" s="4">
        <v>4545.5</v>
      </c>
      <c r="I21" s="4">
        <v>4842.3999999999996</v>
      </c>
      <c r="J21" s="4">
        <v>5178.5</v>
      </c>
      <c r="K21" s="4">
        <v>5660.7</v>
      </c>
      <c r="L21" s="4">
        <v>5934.1</v>
      </c>
      <c r="M21" s="4">
        <v>6298.4</v>
      </c>
      <c r="N21" s="4">
        <v>6687.3</v>
      </c>
      <c r="O21" s="4">
        <v>6976.4</v>
      </c>
      <c r="P21" s="4">
        <v>7064.3</v>
      </c>
      <c r="Q21" s="4">
        <v>7239.7</v>
      </c>
      <c r="R21" s="4">
        <v>7431</v>
      </c>
      <c r="S21" s="4">
        <v>7726.7</v>
      </c>
      <c r="T21" s="4">
        <v>8081.9</v>
      </c>
      <c r="U21" s="4">
        <v>8662</v>
      </c>
      <c r="V21" s="4">
        <v>8981.2000000000007</v>
      </c>
      <c r="W21" s="4">
        <v>9466.1</v>
      </c>
      <c r="X21" s="4">
        <v>9994.7000000000007</v>
      </c>
      <c r="Y21" s="4">
        <v>10653.1</v>
      </c>
      <c r="Z21" s="4">
        <v>10403.9</v>
      </c>
      <c r="AA21" s="4">
        <v>11259.5</v>
      </c>
      <c r="AB21" s="4">
        <v>11793.3</v>
      </c>
    </row>
    <row r="22" spans="2:28" x14ac:dyDescent="0.35">
      <c r="B22" s="8" t="s">
        <v>362</v>
      </c>
      <c r="C22" s="4">
        <v>917.6</v>
      </c>
      <c r="D22" s="4">
        <v>974.7</v>
      </c>
      <c r="E22" s="4">
        <v>1004.9</v>
      </c>
      <c r="F22" s="4">
        <v>1122.7</v>
      </c>
      <c r="G22" s="4">
        <v>1075.4000000000001</v>
      </c>
      <c r="H22" s="4">
        <v>1092.8</v>
      </c>
      <c r="I22" s="4">
        <v>1196.2</v>
      </c>
      <c r="J22" s="4">
        <v>1279.8</v>
      </c>
      <c r="K22" s="4">
        <v>1348.8</v>
      </c>
      <c r="L22" s="4">
        <v>1374.9</v>
      </c>
      <c r="M22" s="4">
        <v>1400.2</v>
      </c>
      <c r="N22" s="4">
        <v>1434.2</v>
      </c>
      <c r="O22" s="4">
        <v>1350.4</v>
      </c>
      <c r="P22" s="4">
        <v>1411.9</v>
      </c>
      <c r="Q22" s="4">
        <v>1576</v>
      </c>
      <c r="R22" s="4">
        <v>1627.3</v>
      </c>
      <c r="S22" s="4">
        <v>1731.7</v>
      </c>
      <c r="T22" s="4">
        <v>1793.2</v>
      </c>
      <c r="U22" s="4">
        <v>1755</v>
      </c>
      <c r="V22" s="4">
        <v>1776.2</v>
      </c>
      <c r="W22" s="4">
        <v>1903.3</v>
      </c>
      <c r="X22" s="4">
        <v>2001</v>
      </c>
      <c r="Y22" s="4">
        <v>2235.1999999999998</v>
      </c>
      <c r="Z22" s="4">
        <v>1250</v>
      </c>
      <c r="AA22" s="4">
        <v>2183.3000000000002</v>
      </c>
      <c r="AB22" s="4">
        <v>3044.5</v>
      </c>
    </row>
    <row r="23" spans="2:28" x14ac:dyDescent="0.35">
      <c r="B23" s="8" t="s">
        <v>363</v>
      </c>
      <c r="C23" s="4">
        <v>1133.0999999999999</v>
      </c>
      <c r="D23" s="4">
        <v>1130.0999999999999</v>
      </c>
      <c r="E23" s="4">
        <v>1169.5</v>
      </c>
      <c r="F23" s="4">
        <v>1237.0999999999999</v>
      </c>
      <c r="G23" s="4">
        <v>1280.5999999999999</v>
      </c>
      <c r="H23" s="4">
        <v>1315.5</v>
      </c>
      <c r="I23" s="4">
        <v>1389.5</v>
      </c>
      <c r="J23" s="4">
        <v>1510.5</v>
      </c>
      <c r="K23" s="4">
        <v>1623.3</v>
      </c>
      <c r="L23" s="4">
        <v>1797.6</v>
      </c>
      <c r="M23" s="4">
        <v>1872.7</v>
      </c>
      <c r="N23" s="4">
        <v>1974.5</v>
      </c>
      <c r="O23" s="4">
        <v>1962.8</v>
      </c>
      <c r="P23" s="4">
        <v>2049</v>
      </c>
      <c r="Q23" s="4">
        <v>2042.2</v>
      </c>
      <c r="R23" s="4">
        <v>2171.4</v>
      </c>
      <c r="S23" s="4">
        <v>2312</v>
      </c>
      <c r="T23" s="4">
        <v>2436.9</v>
      </c>
      <c r="U23" s="4">
        <v>2569.4</v>
      </c>
      <c r="V23" s="4">
        <v>2634.8</v>
      </c>
      <c r="W23" s="4">
        <v>2664.1</v>
      </c>
      <c r="X23" s="4">
        <v>2759.2</v>
      </c>
      <c r="Y23" s="4">
        <v>2789.8</v>
      </c>
      <c r="Z23" s="4">
        <v>2031</v>
      </c>
      <c r="AA23" s="4">
        <v>2621.9</v>
      </c>
      <c r="AB23" s="4">
        <v>3027.9</v>
      </c>
    </row>
    <row r="24" spans="2:28" x14ac:dyDescent="0.35">
      <c r="B24" s="8" t="s">
        <v>364</v>
      </c>
      <c r="C24" s="4">
        <v>1918.8</v>
      </c>
      <c r="D24" s="4">
        <v>1917.1</v>
      </c>
      <c r="E24" s="4">
        <v>1957.9</v>
      </c>
      <c r="F24" s="4">
        <v>2115.6</v>
      </c>
      <c r="G24" s="4">
        <v>2118.4</v>
      </c>
      <c r="H24" s="4">
        <v>2202.9</v>
      </c>
      <c r="I24" s="4">
        <v>2379.1</v>
      </c>
      <c r="J24" s="4">
        <v>2630.9</v>
      </c>
      <c r="K24" s="4">
        <v>2847.4</v>
      </c>
      <c r="L24" s="4">
        <v>3054.4</v>
      </c>
      <c r="M24" s="4">
        <v>3160.4</v>
      </c>
      <c r="N24" s="4">
        <v>3163.9</v>
      </c>
      <c r="O24" s="4">
        <v>3074.5</v>
      </c>
      <c r="P24" s="4">
        <v>3191.1</v>
      </c>
      <c r="Q24" s="4">
        <v>3430.8</v>
      </c>
      <c r="R24" s="4">
        <v>3652.9</v>
      </c>
      <c r="S24" s="4">
        <v>3747.5</v>
      </c>
      <c r="T24" s="4">
        <v>3920.8</v>
      </c>
      <c r="U24" s="4">
        <v>4222.7</v>
      </c>
      <c r="V24" s="4">
        <v>4343.3</v>
      </c>
      <c r="W24" s="4">
        <v>4681.3999999999996</v>
      </c>
      <c r="X24" s="4">
        <v>4928.8999999999996</v>
      </c>
      <c r="Y24" s="4">
        <v>5191</v>
      </c>
      <c r="Z24" s="4">
        <v>3796.6</v>
      </c>
      <c r="AA24" s="4">
        <v>5529</v>
      </c>
      <c r="AB24" s="4">
        <v>6948.8</v>
      </c>
    </row>
    <row r="25" spans="2:28" x14ac:dyDescent="0.35">
      <c r="B25" s="8" t="s">
        <v>365</v>
      </c>
      <c r="C25" s="4">
        <v>1886.4</v>
      </c>
      <c r="D25" s="4">
        <v>1985.2</v>
      </c>
      <c r="E25" s="4">
        <v>2078.9</v>
      </c>
      <c r="F25" s="4">
        <v>2267.4</v>
      </c>
      <c r="G25" s="4">
        <v>2245.1999999999998</v>
      </c>
      <c r="H25" s="4">
        <v>2301.8000000000002</v>
      </c>
      <c r="I25" s="4">
        <v>2464.8000000000002</v>
      </c>
      <c r="J25" s="4">
        <v>2683.1</v>
      </c>
      <c r="K25" s="4">
        <v>2947.4</v>
      </c>
      <c r="L25" s="4">
        <v>3173.5</v>
      </c>
      <c r="M25" s="4">
        <v>3379.4</v>
      </c>
      <c r="N25" s="4">
        <v>3441.1</v>
      </c>
      <c r="O25" s="4">
        <v>3232.5</v>
      </c>
      <c r="P25" s="4">
        <v>3416.3</v>
      </c>
      <c r="Q25" s="4">
        <v>3534.7</v>
      </c>
      <c r="R25" s="4">
        <v>3516.7</v>
      </c>
      <c r="S25" s="4">
        <v>3611.5</v>
      </c>
      <c r="T25" s="4">
        <v>3822.3</v>
      </c>
      <c r="U25" s="4">
        <v>4013.7</v>
      </c>
      <c r="V25" s="4">
        <v>4091.8</v>
      </c>
      <c r="W25" s="4">
        <v>4434.7</v>
      </c>
      <c r="X25" s="4">
        <v>4607.8999999999996</v>
      </c>
      <c r="Y25" s="4">
        <v>4622.7</v>
      </c>
      <c r="Z25" s="4">
        <v>4647.7</v>
      </c>
      <c r="AA25" s="4">
        <v>4885.1000000000004</v>
      </c>
      <c r="AB25" s="4">
        <v>5035.5</v>
      </c>
    </row>
    <row r="26" spans="2:28" x14ac:dyDescent="0.35">
      <c r="B26" s="8" t="s">
        <v>366</v>
      </c>
      <c r="C26" s="4">
        <v>2266.5</v>
      </c>
      <c r="D26" s="4">
        <v>2426.1999999999998</v>
      </c>
      <c r="E26" s="4">
        <v>2449.1999999999998</v>
      </c>
      <c r="F26" s="4">
        <v>2565.3000000000002</v>
      </c>
      <c r="G26" s="4">
        <v>2707.3</v>
      </c>
      <c r="H26" s="4">
        <v>2831.6</v>
      </c>
      <c r="I26" s="4">
        <v>3023.4</v>
      </c>
      <c r="J26" s="4">
        <v>3207</v>
      </c>
      <c r="K26" s="4">
        <v>3441.4</v>
      </c>
      <c r="L26" s="4">
        <v>3695.1</v>
      </c>
      <c r="M26" s="4">
        <v>3870.8</v>
      </c>
      <c r="N26" s="4">
        <v>3984.4</v>
      </c>
      <c r="O26" s="4">
        <v>3932.9</v>
      </c>
      <c r="P26" s="4">
        <v>4019.2</v>
      </c>
      <c r="Q26" s="4">
        <v>4133.3</v>
      </c>
      <c r="R26" s="4">
        <v>4256.2</v>
      </c>
      <c r="S26" s="4">
        <v>4248.2</v>
      </c>
      <c r="T26" s="4">
        <v>4479.2</v>
      </c>
      <c r="U26" s="4">
        <v>4545.8</v>
      </c>
      <c r="V26" s="4">
        <v>4622.1000000000004</v>
      </c>
      <c r="W26" s="4">
        <v>4769.8999999999996</v>
      </c>
      <c r="X26" s="4">
        <v>5060</v>
      </c>
      <c r="Y26" s="4">
        <v>5357.4</v>
      </c>
      <c r="Z26" s="4">
        <v>4865.7</v>
      </c>
      <c r="AA26" s="4">
        <v>5404.9</v>
      </c>
      <c r="AB26" s="4">
        <v>5735.3</v>
      </c>
    </row>
    <row r="27" spans="2:28" x14ac:dyDescent="0.35">
      <c r="B27" s="6" t="s">
        <v>367</v>
      </c>
      <c r="C27" s="4">
        <v>846.7</v>
      </c>
      <c r="D27" s="4">
        <v>983</v>
      </c>
      <c r="E27" s="4">
        <v>945</v>
      </c>
      <c r="F27" s="4">
        <v>1071</v>
      </c>
      <c r="G27" s="4">
        <v>1151</v>
      </c>
      <c r="H27" s="4">
        <v>1270</v>
      </c>
      <c r="I27" s="4">
        <v>1386</v>
      </c>
      <c r="J27" s="4">
        <v>1430</v>
      </c>
      <c r="K27" s="4">
        <v>1613</v>
      </c>
      <c r="L27" s="4">
        <v>1927</v>
      </c>
      <c r="M27" s="4">
        <v>1946</v>
      </c>
      <c r="N27" s="4">
        <v>2170.4</v>
      </c>
      <c r="O27" s="4">
        <v>2124.1</v>
      </c>
      <c r="P27" s="4">
        <v>2128.6999999999998</v>
      </c>
      <c r="Q27" s="4">
        <v>2195.1</v>
      </c>
      <c r="R27" s="4">
        <v>2422.1999999999998</v>
      </c>
      <c r="S27" s="4">
        <v>2402.5</v>
      </c>
      <c r="T27" s="4">
        <v>2445.6</v>
      </c>
      <c r="U27" s="4">
        <v>2415.4</v>
      </c>
      <c r="V27" s="4">
        <v>2555.8000000000002</v>
      </c>
      <c r="W27" s="4">
        <v>2611.1</v>
      </c>
      <c r="X27" s="4">
        <v>2778</v>
      </c>
      <c r="Y27" s="4">
        <v>2810.2</v>
      </c>
      <c r="Z27" s="4">
        <v>3232.4</v>
      </c>
      <c r="AA27" s="4">
        <v>2941.8</v>
      </c>
      <c r="AB27" s="4">
        <v>3401.2</v>
      </c>
    </row>
    <row r="28" spans="2:28" x14ac:dyDescent="0.35">
      <c r="B28" s="8" t="s">
        <v>368</v>
      </c>
      <c r="C28" s="4">
        <v>2701</v>
      </c>
      <c r="D28" s="4">
        <v>2946</v>
      </c>
      <c r="E28" s="4">
        <v>2903</v>
      </c>
      <c r="F28" s="4">
        <v>3128</v>
      </c>
      <c r="G28" s="4">
        <v>3302</v>
      </c>
      <c r="H28" s="4">
        <v>3568</v>
      </c>
      <c r="I28" s="4">
        <v>3810</v>
      </c>
      <c r="J28" s="4">
        <v>4034</v>
      </c>
      <c r="K28" s="4">
        <v>4475</v>
      </c>
      <c r="L28" s="4">
        <v>5015</v>
      </c>
      <c r="M28" s="4">
        <v>5163</v>
      </c>
      <c r="N28" s="4">
        <v>5549.1</v>
      </c>
      <c r="O28" s="4">
        <v>5722.7</v>
      </c>
      <c r="P28" s="4">
        <v>5919.1</v>
      </c>
      <c r="Q28" s="4">
        <v>6175.7</v>
      </c>
      <c r="R28" s="4">
        <v>6644.8</v>
      </c>
      <c r="S28" s="4">
        <v>6793.3</v>
      </c>
      <c r="T28" s="4">
        <v>7015.2</v>
      </c>
      <c r="U28" s="4">
        <v>7200.9</v>
      </c>
      <c r="V28" s="4">
        <v>7477.5</v>
      </c>
      <c r="W28" s="4">
        <v>7699.7</v>
      </c>
      <c r="X28" s="4">
        <v>8186.8</v>
      </c>
      <c r="Y28" s="4">
        <v>8574.1</v>
      </c>
      <c r="Z28" s="4">
        <v>8678.2999999999993</v>
      </c>
      <c r="AA28" s="4">
        <v>8902.5</v>
      </c>
      <c r="AB28" s="4">
        <v>9230.9</v>
      </c>
    </row>
    <row r="29" spans="2:28" x14ac:dyDescent="0.35">
      <c r="B29" s="24" t="s">
        <v>369</v>
      </c>
      <c r="C29" s="10">
        <v>1854.3</v>
      </c>
      <c r="D29" s="10">
        <v>1963</v>
      </c>
      <c r="E29" s="10">
        <v>1958</v>
      </c>
      <c r="F29" s="10">
        <v>2057</v>
      </c>
      <c r="G29" s="10">
        <v>2151</v>
      </c>
      <c r="H29" s="10">
        <v>2298</v>
      </c>
      <c r="I29" s="10">
        <v>2424</v>
      </c>
      <c r="J29" s="10">
        <v>2604</v>
      </c>
      <c r="K29" s="10">
        <v>2862</v>
      </c>
      <c r="L29" s="10">
        <v>3088</v>
      </c>
      <c r="M29" s="10">
        <v>3217</v>
      </c>
      <c r="N29" s="10">
        <v>3378.8</v>
      </c>
      <c r="O29" s="10">
        <v>3598.5</v>
      </c>
      <c r="P29" s="10">
        <v>3790.4</v>
      </c>
      <c r="Q29" s="10">
        <v>3980.6</v>
      </c>
      <c r="R29" s="10">
        <v>4222.7</v>
      </c>
      <c r="S29" s="10">
        <v>4390.8</v>
      </c>
      <c r="T29" s="10">
        <v>4569.5</v>
      </c>
      <c r="U29" s="10">
        <v>4785.5</v>
      </c>
      <c r="V29" s="10">
        <v>4921.6000000000004</v>
      </c>
      <c r="W29" s="10">
        <v>5088.5</v>
      </c>
      <c r="X29" s="10">
        <v>5408.8</v>
      </c>
      <c r="Y29" s="10">
        <v>5763.8</v>
      </c>
      <c r="Z29" s="10">
        <v>5445.9</v>
      </c>
      <c r="AA29" s="10">
        <v>5960.6</v>
      </c>
      <c r="AB29" s="10">
        <v>5829.7</v>
      </c>
    </row>
    <row r="31" spans="2:28" x14ac:dyDescent="0.35">
      <c r="B31" s="13" t="s">
        <v>25</v>
      </c>
    </row>
  </sheetData>
  <hyperlinks>
    <hyperlink ref="B31" r:id="rId1" xr:uid="{1D239930-F87F-4AB6-94AD-8A091ECAF33D}"/>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8481E-B974-4B29-BDD4-BC1994BE926D}">
  <dimension ref="B2:P30"/>
  <sheetViews>
    <sheetView workbookViewId="0"/>
  </sheetViews>
  <sheetFormatPr defaultColWidth="8.7265625" defaultRowHeight="14.5" x14ac:dyDescent="0.35"/>
  <cols>
    <col min="1" max="1" width="8.7265625" style="2"/>
    <col min="2" max="2" width="30.7265625" style="2" customWidth="1"/>
    <col min="3" max="16384" width="8.7265625" style="2"/>
  </cols>
  <sheetData>
    <row r="2" spans="2:16" x14ac:dyDescent="0.35">
      <c r="B2" s="1" t="s">
        <v>372</v>
      </c>
    </row>
    <row r="3" spans="2:16" x14ac:dyDescent="0.35">
      <c r="B3" s="3" t="s">
        <v>373</v>
      </c>
    </row>
    <row r="5" spans="2:16" x14ac:dyDescent="0.35">
      <c r="B5" s="5"/>
      <c r="C5" s="5">
        <v>2009</v>
      </c>
      <c r="D5" s="5">
        <v>2010</v>
      </c>
      <c r="E5" s="5">
        <v>2011</v>
      </c>
      <c r="F5" s="5">
        <v>2012</v>
      </c>
      <c r="G5" s="5">
        <v>2013</v>
      </c>
      <c r="H5" s="5">
        <v>2014</v>
      </c>
      <c r="I5" s="5">
        <v>2015</v>
      </c>
      <c r="J5" s="5">
        <v>2016</v>
      </c>
      <c r="K5" s="5">
        <v>2017</v>
      </c>
      <c r="L5" s="5">
        <v>2018</v>
      </c>
      <c r="M5" s="5">
        <v>2019</v>
      </c>
      <c r="N5" s="5">
        <v>2020</v>
      </c>
      <c r="O5" s="5">
        <v>2021</v>
      </c>
      <c r="P5" s="5">
        <v>2022</v>
      </c>
    </row>
    <row r="6" spans="2:16" x14ac:dyDescent="0.35">
      <c r="B6" s="2" t="s">
        <v>374</v>
      </c>
      <c r="C6" s="4">
        <v>6747.5919999999996</v>
      </c>
      <c r="D6" s="4">
        <v>6280.8281322399989</v>
      </c>
      <c r="E6" s="4">
        <v>6127.7250000000004</v>
      </c>
      <c r="F6" s="4">
        <v>6511.5780000000004</v>
      </c>
      <c r="G6" s="4">
        <v>7139.7277855999992</v>
      </c>
      <c r="H6" s="4">
        <v>7722.84</v>
      </c>
      <c r="I6" s="4">
        <v>8221.2900000000009</v>
      </c>
      <c r="J6" s="4">
        <v>8811.8819999999996</v>
      </c>
      <c r="K6" s="4">
        <v>9415.2139999999999</v>
      </c>
      <c r="L6" s="4">
        <v>9591.7240000000002</v>
      </c>
      <c r="M6" s="4">
        <v>9246.2929999999997</v>
      </c>
      <c r="N6" s="4">
        <v>8818.2549999999992</v>
      </c>
      <c r="O6" s="4">
        <v>9494.26</v>
      </c>
      <c r="P6" s="4">
        <v>11583.752</v>
      </c>
    </row>
    <row r="7" spans="2:16" x14ac:dyDescent="0.35">
      <c r="B7" s="2" t="s">
        <v>375</v>
      </c>
      <c r="C7" s="4">
        <v>423.77199999999999</v>
      </c>
      <c r="D7" s="4">
        <v>494.12568098000003</v>
      </c>
      <c r="E7" s="4">
        <v>365.38</v>
      </c>
      <c r="F7" s="4">
        <v>398.72</v>
      </c>
      <c r="G7" s="4">
        <v>383.10319791000006</v>
      </c>
      <c r="H7" s="4">
        <v>376.85700000000003</v>
      </c>
      <c r="I7" s="4">
        <v>476.17099999999999</v>
      </c>
      <c r="J7" s="4">
        <v>581.68899999999996</v>
      </c>
      <c r="K7" s="4">
        <v>700.14400000000001</v>
      </c>
      <c r="L7" s="4">
        <v>683.17600000000004</v>
      </c>
      <c r="M7" s="4">
        <v>539.64700000000005</v>
      </c>
      <c r="N7" s="4">
        <v>540.505</v>
      </c>
      <c r="O7" s="4">
        <v>601.54499999999996</v>
      </c>
      <c r="P7" s="4">
        <v>629.43399999999997</v>
      </c>
    </row>
    <row r="8" spans="2:16" x14ac:dyDescent="0.35">
      <c r="B8" s="2" t="s">
        <v>376</v>
      </c>
      <c r="C8" s="4">
        <v>6134.8140000000003</v>
      </c>
      <c r="D8" s="4">
        <v>5585.8007168999993</v>
      </c>
      <c r="E8" s="4">
        <v>5610.7879999999996</v>
      </c>
      <c r="F8" s="4">
        <v>5922.1319999999996</v>
      </c>
      <c r="G8" s="4">
        <v>6528.4988976200002</v>
      </c>
      <c r="H8" s="4">
        <v>7090.8059999999996</v>
      </c>
      <c r="I8" s="4">
        <v>7468.1360000000004</v>
      </c>
      <c r="J8" s="4">
        <v>7864.4189999999999</v>
      </c>
      <c r="K8" s="4">
        <v>8442.1270000000004</v>
      </c>
      <c r="L8" s="4">
        <v>8564.6190000000006</v>
      </c>
      <c r="M8" s="4">
        <v>8416.64</v>
      </c>
      <c r="N8" s="4">
        <v>8056.6729999999998</v>
      </c>
      <c r="O8" s="4">
        <v>8729.1029999999992</v>
      </c>
      <c r="P8" s="4">
        <v>10711.065000000001</v>
      </c>
    </row>
    <row r="9" spans="2:16" x14ac:dyDescent="0.35">
      <c r="B9" s="6" t="s">
        <v>377</v>
      </c>
      <c r="C9" s="4">
        <v>1297.854</v>
      </c>
      <c r="D9" s="4">
        <v>1178.4876771300001</v>
      </c>
      <c r="E9" s="4">
        <v>1240.3009999999999</v>
      </c>
      <c r="F9" s="4">
        <v>1277.0119999999999</v>
      </c>
      <c r="G9" s="4">
        <v>1491.9853421100001</v>
      </c>
      <c r="H9" s="4">
        <v>1659.61</v>
      </c>
      <c r="I9" s="4">
        <v>1875.4369999999999</v>
      </c>
      <c r="J9" s="4">
        <v>1957.5719999999999</v>
      </c>
      <c r="K9" s="4">
        <v>2096.7620000000002</v>
      </c>
      <c r="L9" s="4">
        <v>2292.9079999999999</v>
      </c>
      <c r="M9" s="4">
        <v>2161.2530000000002</v>
      </c>
      <c r="N9" s="4">
        <v>2096.357</v>
      </c>
      <c r="O9" s="4">
        <v>2563.4580000000001</v>
      </c>
      <c r="P9" s="4">
        <v>3890.8989999999999</v>
      </c>
    </row>
    <row r="10" spans="2:16" x14ac:dyDescent="0.35">
      <c r="B10" s="6" t="s">
        <v>378</v>
      </c>
      <c r="C10" s="4">
        <v>36.356000000000002</v>
      </c>
      <c r="D10" s="4">
        <v>30.680150269999999</v>
      </c>
      <c r="E10" s="4">
        <v>45.639000000000003</v>
      </c>
      <c r="F10" s="4">
        <v>38.631</v>
      </c>
      <c r="G10" s="4">
        <v>55.782415659999998</v>
      </c>
      <c r="H10" s="4">
        <v>94.686000000000007</v>
      </c>
      <c r="I10" s="4">
        <v>73.858000000000004</v>
      </c>
      <c r="J10" s="4">
        <v>72.686000000000007</v>
      </c>
      <c r="K10" s="4">
        <v>71.168000000000006</v>
      </c>
      <c r="L10" s="4">
        <v>85.561000000000007</v>
      </c>
      <c r="M10" s="4">
        <v>82.106999999999999</v>
      </c>
      <c r="N10" s="4">
        <v>54.082000000000001</v>
      </c>
      <c r="O10" s="4">
        <v>103.815</v>
      </c>
      <c r="P10" s="4">
        <v>143.30000000000001</v>
      </c>
    </row>
    <row r="11" spans="2:16" x14ac:dyDescent="0.35">
      <c r="B11" s="6" t="s">
        <v>379</v>
      </c>
      <c r="C11" s="4">
        <v>4778.72</v>
      </c>
      <c r="D11" s="4">
        <v>4357.2863773099998</v>
      </c>
      <c r="E11" s="4">
        <v>4305.223</v>
      </c>
      <c r="F11" s="4">
        <v>4589.3019999999997</v>
      </c>
      <c r="G11" s="4">
        <v>4964.7101568499993</v>
      </c>
      <c r="H11" s="4">
        <v>5320.1580000000004</v>
      </c>
      <c r="I11" s="4">
        <v>5501.5969999999998</v>
      </c>
      <c r="J11" s="4">
        <v>5816.8810000000003</v>
      </c>
      <c r="K11" s="4">
        <v>6255.2939999999999</v>
      </c>
      <c r="L11" s="4">
        <v>6167.6319999999996</v>
      </c>
      <c r="M11" s="4">
        <v>6155.4809999999998</v>
      </c>
      <c r="N11" s="4">
        <v>5889.0020000000004</v>
      </c>
      <c r="O11" s="4">
        <v>6046.8689999999997</v>
      </c>
      <c r="P11" s="4">
        <v>6659.6570000000002</v>
      </c>
    </row>
    <row r="12" spans="2:16" x14ac:dyDescent="0.35">
      <c r="B12" s="6" t="s">
        <v>380</v>
      </c>
      <c r="C12" s="4">
        <v>0</v>
      </c>
      <c r="D12" s="4">
        <v>0</v>
      </c>
      <c r="E12" s="4">
        <v>0</v>
      </c>
      <c r="F12" s="4">
        <v>0</v>
      </c>
      <c r="G12" s="4">
        <v>0</v>
      </c>
      <c r="H12" s="4">
        <v>0</v>
      </c>
      <c r="I12" s="4">
        <v>0</v>
      </c>
      <c r="J12" s="4">
        <v>0</v>
      </c>
      <c r="K12" s="4">
        <v>0</v>
      </c>
      <c r="L12" s="4">
        <v>0</v>
      </c>
      <c r="M12" s="4">
        <v>0</v>
      </c>
      <c r="N12" s="4">
        <v>1E-3</v>
      </c>
      <c r="O12" s="4">
        <v>0</v>
      </c>
      <c r="P12" s="4">
        <v>0</v>
      </c>
    </row>
    <row r="13" spans="2:16" x14ac:dyDescent="0.35">
      <c r="B13" s="6" t="s">
        <v>381</v>
      </c>
      <c r="C13" s="4">
        <v>21.882999999999999</v>
      </c>
      <c r="D13" s="4">
        <v>19.346512190000002</v>
      </c>
      <c r="E13" s="4">
        <v>19.625</v>
      </c>
      <c r="F13" s="4">
        <v>17.187000000000001</v>
      </c>
      <c r="G13" s="4">
        <v>16.020983000000001</v>
      </c>
      <c r="H13" s="4">
        <v>16.352</v>
      </c>
      <c r="I13" s="4">
        <v>17.244</v>
      </c>
      <c r="J13" s="4">
        <v>17.280999999999999</v>
      </c>
      <c r="K13" s="4">
        <v>18.902999999999999</v>
      </c>
      <c r="L13" s="4">
        <v>18.518999999999998</v>
      </c>
      <c r="M13" s="4">
        <v>17.797999999999998</v>
      </c>
      <c r="N13" s="4">
        <v>17.231000000000002</v>
      </c>
      <c r="O13" s="4">
        <v>14.96</v>
      </c>
      <c r="P13" s="4">
        <v>17.207999999999998</v>
      </c>
    </row>
    <row r="14" spans="2:16" x14ac:dyDescent="0.35">
      <c r="B14" s="2" t="s">
        <v>382</v>
      </c>
      <c r="C14" s="4">
        <v>67.301000000000002</v>
      </c>
      <c r="D14" s="4">
        <v>71.25137463999998</v>
      </c>
      <c r="E14" s="4">
        <v>16.004000000000001</v>
      </c>
      <c r="F14" s="4">
        <v>29.547000000000001</v>
      </c>
      <c r="G14" s="4">
        <v>41.802566859999999</v>
      </c>
      <c r="H14" s="4">
        <v>31.992000000000001</v>
      </c>
      <c r="I14" s="4">
        <v>35.686999999999998</v>
      </c>
      <c r="J14" s="4">
        <v>120.717</v>
      </c>
      <c r="K14" s="4">
        <v>62.845999999999997</v>
      </c>
      <c r="L14" s="4">
        <v>48.381</v>
      </c>
      <c r="M14" s="4">
        <v>50.036999999999999</v>
      </c>
      <c r="N14" s="4">
        <v>19.218</v>
      </c>
      <c r="O14" s="4">
        <v>29.286000000000001</v>
      </c>
      <c r="P14" s="4">
        <v>40.884999999999998</v>
      </c>
    </row>
    <row r="15" spans="2:16" x14ac:dyDescent="0.35">
      <c r="B15" s="2" t="s">
        <v>383</v>
      </c>
      <c r="C15" s="4">
        <v>6.7770000000000001</v>
      </c>
      <c r="D15" s="4">
        <v>10.320642640000001</v>
      </c>
      <c r="E15" s="4">
        <v>5.1589999999999998</v>
      </c>
      <c r="F15" s="4">
        <v>9.0570000000000004</v>
      </c>
      <c r="G15" s="4">
        <v>22.570783480000003</v>
      </c>
      <c r="H15" s="4">
        <v>1.6359999999999999</v>
      </c>
      <c r="I15" s="4">
        <v>0.98499999999999999</v>
      </c>
      <c r="J15" s="4">
        <v>14.151</v>
      </c>
      <c r="K15" s="4">
        <v>-0.54300000000000004</v>
      </c>
      <c r="L15" s="4">
        <v>2.0110000000000001</v>
      </c>
      <c r="M15" s="4">
        <v>1.6E-2</v>
      </c>
      <c r="N15" s="4">
        <v>3.9750000000000001</v>
      </c>
      <c r="O15" s="4">
        <v>1.3520000000000001</v>
      </c>
      <c r="P15" s="4">
        <v>0.75</v>
      </c>
    </row>
    <row r="16" spans="2:16" x14ac:dyDescent="0.35">
      <c r="B16" s="17" t="s">
        <v>384</v>
      </c>
      <c r="C16" s="10">
        <v>114.929</v>
      </c>
      <c r="D16" s="10">
        <v>119.32971708000001</v>
      </c>
      <c r="E16" s="10">
        <v>130.39500000000001</v>
      </c>
      <c r="F16" s="10">
        <v>152.12200000000001</v>
      </c>
      <c r="G16" s="10">
        <v>163.75233972999999</v>
      </c>
      <c r="H16" s="10">
        <v>221.54900000000001</v>
      </c>
      <c r="I16" s="10">
        <v>240.31100000000001</v>
      </c>
      <c r="J16" s="10">
        <v>230.90600000000001</v>
      </c>
      <c r="K16" s="10">
        <v>210.64</v>
      </c>
      <c r="L16" s="10">
        <v>293.536</v>
      </c>
      <c r="M16" s="10">
        <v>239.953</v>
      </c>
      <c r="N16" s="10">
        <v>197.88399999999999</v>
      </c>
      <c r="O16" s="10">
        <v>132.97399999999999</v>
      </c>
      <c r="P16" s="10">
        <v>201.619</v>
      </c>
    </row>
    <row r="18" spans="2:11" x14ac:dyDescent="0.35">
      <c r="B18" s="13" t="s">
        <v>385</v>
      </c>
    </row>
    <row r="19" spans="2:11" x14ac:dyDescent="0.35">
      <c r="B19" s="109" t="s">
        <v>386</v>
      </c>
      <c r="C19" s="109"/>
      <c r="D19" s="109"/>
      <c r="E19" s="109"/>
      <c r="F19" s="109"/>
      <c r="G19" s="109"/>
      <c r="H19" s="109"/>
      <c r="I19" s="109"/>
      <c r="J19" s="109"/>
      <c r="K19" s="109"/>
    </row>
    <row r="20" spans="2:11" x14ac:dyDescent="0.35">
      <c r="B20" s="2" t="s">
        <v>387</v>
      </c>
    </row>
    <row r="21" spans="2:11" x14ac:dyDescent="0.35">
      <c r="B21" s="118" t="s">
        <v>388</v>
      </c>
      <c r="C21" s="118"/>
      <c r="D21" s="118"/>
      <c r="E21" s="118"/>
      <c r="F21" s="118"/>
      <c r="G21" s="118"/>
      <c r="H21" s="118"/>
      <c r="I21" s="118"/>
      <c r="J21" s="118"/>
      <c r="K21" s="118"/>
    </row>
    <row r="22" spans="2:11" x14ac:dyDescent="0.35">
      <c r="B22" s="2" t="s">
        <v>389</v>
      </c>
    </row>
    <row r="23" spans="2:11" x14ac:dyDescent="0.35">
      <c r="B23" s="2" t="s">
        <v>390</v>
      </c>
    </row>
    <row r="24" spans="2:11" x14ac:dyDescent="0.35">
      <c r="B24" s="109" t="s">
        <v>391</v>
      </c>
      <c r="C24" s="109"/>
      <c r="D24" s="109"/>
      <c r="E24" s="109"/>
      <c r="F24" s="109"/>
      <c r="G24" s="109"/>
      <c r="H24" s="109"/>
      <c r="I24" s="109"/>
      <c r="J24" s="109"/>
      <c r="K24" s="109"/>
    </row>
    <row r="26" spans="2:11" x14ac:dyDescent="0.35">
      <c r="B26" s="2" t="s">
        <v>392</v>
      </c>
    </row>
    <row r="27" spans="2:11" x14ac:dyDescent="0.35">
      <c r="B27" s="2" t="s">
        <v>393</v>
      </c>
    </row>
    <row r="29" spans="2:11" x14ac:dyDescent="0.35">
      <c r="B29" s="13" t="s">
        <v>394</v>
      </c>
    </row>
    <row r="30" spans="2:11" x14ac:dyDescent="0.35">
      <c r="B30" s="2" t="s">
        <v>395</v>
      </c>
    </row>
  </sheetData>
  <mergeCells count="3">
    <mergeCell ref="B19:K19"/>
    <mergeCell ref="B21:K21"/>
    <mergeCell ref="B24:K24"/>
  </mergeCells>
  <hyperlinks>
    <hyperlink ref="B18" r:id="rId1" xr:uid="{1B445BA3-4AB2-4621-8CF0-CD5C686DCDEE}"/>
    <hyperlink ref="B29" r:id="rId2" xr:uid="{6842A463-F819-4936-824C-33DE7FA2ECA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E03BF-694C-4EB4-9DCB-B0D8C141973E}">
  <dimension ref="B2:G35"/>
  <sheetViews>
    <sheetView workbookViewId="0"/>
  </sheetViews>
  <sheetFormatPr defaultColWidth="8.7265625" defaultRowHeight="14.5" x14ac:dyDescent="0.35"/>
  <cols>
    <col min="1" max="1" width="8.7265625" style="2"/>
    <col min="2" max="2" width="35.54296875" style="2" customWidth="1"/>
    <col min="3" max="4" width="9.453125" style="2" bestFit="1" customWidth="1"/>
    <col min="5" max="6" width="8.7265625" style="2"/>
    <col min="7" max="7" width="20" style="2" customWidth="1"/>
    <col min="8" max="16384" width="8.7265625" style="2"/>
  </cols>
  <sheetData>
    <row r="2" spans="2:5" x14ac:dyDescent="0.35">
      <c r="B2" s="1" t="s">
        <v>419</v>
      </c>
    </row>
    <row r="3" spans="2:5" x14ac:dyDescent="0.35">
      <c r="B3" s="2" t="s">
        <v>420</v>
      </c>
    </row>
    <row r="4" spans="2:5" x14ac:dyDescent="0.35">
      <c r="B4" s="2" t="s">
        <v>421</v>
      </c>
    </row>
    <row r="6" spans="2:5" x14ac:dyDescent="0.35">
      <c r="B6" s="5"/>
      <c r="C6" s="5" t="s">
        <v>422</v>
      </c>
      <c r="D6" s="5" t="s">
        <v>423</v>
      </c>
      <c r="E6" s="5" t="s">
        <v>424</v>
      </c>
    </row>
    <row r="7" spans="2:5" x14ac:dyDescent="0.35">
      <c r="B7" s="2" t="s">
        <v>425</v>
      </c>
      <c r="C7" s="40">
        <v>14.7</v>
      </c>
      <c r="D7" s="40">
        <v>14.7</v>
      </c>
      <c r="E7" s="2">
        <v>17.3</v>
      </c>
    </row>
    <row r="8" spans="2:5" x14ac:dyDescent="0.35">
      <c r="B8" s="2" t="s">
        <v>426</v>
      </c>
      <c r="C8" s="40">
        <v>0.8</v>
      </c>
      <c r="D8" s="40">
        <v>1.1000000000000001</v>
      </c>
      <c r="E8" s="2">
        <v>0.7</v>
      </c>
    </row>
    <row r="9" spans="2:5" x14ac:dyDescent="0.35">
      <c r="B9" s="2" t="s">
        <v>427</v>
      </c>
      <c r="C9" s="40">
        <v>31.7</v>
      </c>
      <c r="D9" s="40">
        <v>43.2</v>
      </c>
      <c r="E9" s="2">
        <v>37.1</v>
      </c>
    </row>
    <row r="10" spans="2:5" x14ac:dyDescent="0.35">
      <c r="B10" s="2" t="s">
        <v>428</v>
      </c>
      <c r="C10" s="40">
        <v>3.9</v>
      </c>
      <c r="D10" s="40">
        <v>1.9</v>
      </c>
      <c r="E10" s="2">
        <v>1.9</v>
      </c>
    </row>
    <row r="11" spans="2:5" x14ac:dyDescent="0.35">
      <c r="B11" s="2" t="s">
        <v>429</v>
      </c>
      <c r="C11" s="40">
        <v>18.100000000000001</v>
      </c>
      <c r="D11" s="40">
        <v>13.9</v>
      </c>
      <c r="E11" s="2">
        <v>13.5</v>
      </c>
    </row>
    <row r="12" spans="2:5" x14ac:dyDescent="0.35">
      <c r="B12" s="2" t="s">
        <v>361</v>
      </c>
      <c r="C12" s="40">
        <v>4.7</v>
      </c>
      <c r="D12" s="40">
        <v>5.8</v>
      </c>
      <c r="E12" s="2">
        <v>6.8</v>
      </c>
    </row>
    <row r="13" spans="2:5" x14ac:dyDescent="0.35">
      <c r="B13" s="2" t="s">
        <v>430</v>
      </c>
      <c r="C13" s="40">
        <v>5.7</v>
      </c>
      <c r="D13" s="40">
        <v>2.5</v>
      </c>
      <c r="E13" s="2">
        <v>3.2</v>
      </c>
    </row>
    <row r="14" spans="2:5" x14ac:dyDescent="0.35">
      <c r="B14" s="2" t="s">
        <v>431</v>
      </c>
      <c r="C14" s="40">
        <v>1.4</v>
      </c>
      <c r="D14" s="40">
        <v>1</v>
      </c>
      <c r="E14" s="2">
        <v>1</v>
      </c>
    </row>
    <row r="15" spans="2:5" x14ac:dyDescent="0.35">
      <c r="B15" s="2" t="s">
        <v>432</v>
      </c>
      <c r="C15" s="40">
        <v>0.2</v>
      </c>
      <c r="D15" s="40">
        <v>0.2</v>
      </c>
      <c r="E15" s="2">
        <v>0.2</v>
      </c>
    </row>
    <row r="16" spans="2:5" x14ac:dyDescent="0.35">
      <c r="B16" s="2" t="s">
        <v>138</v>
      </c>
      <c r="C16" s="40">
        <v>2.4</v>
      </c>
      <c r="D16" s="40">
        <v>4</v>
      </c>
      <c r="E16" s="2">
        <v>2.1</v>
      </c>
    </row>
    <row r="17" spans="2:7" x14ac:dyDescent="0.35">
      <c r="B17" s="2" t="s">
        <v>433</v>
      </c>
      <c r="C17" s="40">
        <v>0.4</v>
      </c>
      <c r="D17" s="40">
        <v>0.2</v>
      </c>
      <c r="E17" s="2">
        <v>0.3</v>
      </c>
    </row>
    <row r="18" spans="2:7" x14ac:dyDescent="0.35">
      <c r="B18" s="2" t="s">
        <v>434</v>
      </c>
      <c r="C18" s="40">
        <v>1.6</v>
      </c>
      <c r="D18" s="40">
        <v>1.6</v>
      </c>
      <c r="E18" s="2">
        <v>0.9</v>
      </c>
    </row>
    <row r="19" spans="2:7" x14ac:dyDescent="0.35">
      <c r="B19" s="2" t="s">
        <v>435</v>
      </c>
      <c r="C19" s="40">
        <v>2</v>
      </c>
      <c r="D19" s="40">
        <v>1.7</v>
      </c>
      <c r="E19" s="2">
        <v>2.1</v>
      </c>
    </row>
    <row r="20" spans="2:7" x14ac:dyDescent="0.35">
      <c r="B20" s="2" t="s">
        <v>436</v>
      </c>
      <c r="C20" s="40">
        <v>12.3</v>
      </c>
      <c r="D20" s="40">
        <v>8.1999999999999993</v>
      </c>
      <c r="E20" s="2">
        <v>12.9</v>
      </c>
    </row>
    <row r="21" spans="2:7" x14ac:dyDescent="0.35">
      <c r="B21" s="9" t="s">
        <v>241</v>
      </c>
      <c r="C21" s="41">
        <v>100</v>
      </c>
      <c r="D21" s="41">
        <f>SUM(D7:D20)</f>
        <v>100</v>
      </c>
      <c r="E21" s="41">
        <f>SUM(E7:E20)</f>
        <v>100</v>
      </c>
    </row>
    <row r="23" spans="2:7" x14ac:dyDescent="0.35">
      <c r="B23" s="13" t="s">
        <v>437</v>
      </c>
      <c r="G23" s="42"/>
    </row>
    <row r="24" spans="2:7" x14ac:dyDescent="0.35">
      <c r="B24" s="13" t="s">
        <v>438</v>
      </c>
    </row>
    <row r="35" spans="7:7" x14ac:dyDescent="0.35">
      <c r="G35" s="43"/>
    </row>
  </sheetData>
  <hyperlinks>
    <hyperlink ref="B23" r:id="rId1" xr:uid="{6AC62A0E-B10F-4346-8287-B482548CA408}"/>
    <hyperlink ref="B24" r:id="rId2" location=":~:text=Households%20in%20the%20Honolulu%2C%20HI%2C%20metropolitan%20area%20spent,the%20U.S.%20Bureau%20of%20Labor%20Statistics%20reported%20today." xr:uid="{3F1D5BCC-C001-41B4-9050-9A9B515E2EC4}"/>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D7DB8-118B-482F-84B1-DFA680FC14D2}">
  <dimension ref="B2:AH36"/>
  <sheetViews>
    <sheetView workbookViewId="0">
      <pane xSplit="2" ySplit="6" topLeftCell="C7" activePane="bottomRight" state="frozen"/>
      <selection pane="topRight" activeCell="C1" sqref="C1"/>
      <selection pane="bottomLeft" activeCell="A7" sqref="A7"/>
      <selection pane="bottomRight" activeCell="B2" sqref="B2"/>
    </sheetView>
  </sheetViews>
  <sheetFormatPr defaultRowHeight="14.5" x14ac:dyDescent="0.35"/>
  <cols>
    <col min="2" max="2" width="39.7265625" customWidth="1"/>
  </cols>
  <sheetData>
    <row r="2" spans="2:34" x14ac:dyDescent="0.35">
      <c r="B2" s="119" t="s">
        <v>449</v>
      </c>
    </row>
    <row r="3" spans="2:34" x14ac:dyDescent="0.35">
      <c r="B3" t="s">
        <v>450</v>
      </c>
    </row>
    <row r="4" spans="2:34" x14ac:dyDescent="0.35">
      <c r="B4" s="12" t="s">
        <v>451</v>
      </c>
    </row>
    <row r="5" spans="2:34" x14ac:dyDescent="0.35">
      <c r="AG5" s="49" t="s">
        <v>533</v>
      </c>
    </row>
    <row r="6" spans="2:34" x14ac:dyDescent="0.35">
      <c r="C6">
        <v>1991</v>
      </c>
      <c r="D6">
        <v>1992</v>
      </c>
      <c r="E6">
        <v>1993</v>
      </c>
      <c r="F6">
        <v>1994</v>
      </c>
      <c r="G6">
        <v>1995</v>
      </c>
      <c r="H6">
        <v>1996</v>
      </c>
      <c r="I6">
        <v>1997</v>
      </c>
      <c r="J6">
        <v>1998</v>
      </c>
      <c r="K6">
        <v>1999</v>
      </c>
      <c r="L6">
        <v>2000</v>
      </c>
      <c r="M6">
        <v>2001</v>
      </c>
      <c r="N6">
        <v>2002</v>
      </c>
      <c r="O6">
        <v>2003</v>
      </c>
      <c r="P6">
        <v>2004</v>
      </c>
      <c r="Q6">
        <v>2005</v>
      </c>
      <c r="R6">
        <v>2006</v>
      </c>
      <c r="S6">
        <v>2007</v>
      </c>
      <c r="T6">
        <v>2008</v>
      </c>
      <c r="U6">
        <v>2009</v>
      </c>
      <c r="V6">
        <v>2010</v>
      </c>
      <c r="W6">
        <v>2011</v>
      </c>
      <c r="X6">
        <v>2012</v>
      </c>
      <c r="Y6">
        <v>2013</v>
      </c>
      <c r="Z6">
        <v>2014</v>
      </c>
      <c r="AA6">
        <v>2015</v>
      </c>
      <c r="AB6">
        <v>2016</v>
      </c>
      <c r="AC6">
        <v>2017</v>
      </c>
      <c r="AD6">
        <v>2018</v>
      </c>
      <c r="AE6">
        <v>2019</v>
      </c>
      <c r="AF6">
        <v>2020</v>
      </c>
      <c r="AG6" s="49">
        <v>2021</v>
      </c>
      <c r="AH6" s="49">
        <v>2022</v>
      </c>
    </row>
    <row r="7" spans="2:34" x14ac:dyDescent="0.35">
      <c r="B7" t="s">
        <v>452</v>
      </c>
      <c r="C7">
        <v>2934</v>
      </c>
      <c r="D7">
        <v>3139</v>
      </c>
      <c r="E7">
        <v>3418</v>
      </c>
      <c r="F7">
        <v>3689</v>
      </c>
      <c r="G7">
        <v>3955</v>
      </c>
      <c r="H7">
        <v>4233</v>
      </c>
      <c r="I7">
        <v>4249</v>
      </c>
      <c r="J7">
        <v>4406</v>
      </c>
      <c r="K7">
        <v>4529</v>
      </c>
      <c r="L7">
        <v>4701</v>
      </c>
      <c r="M7">
        <v>5019</v>
      </c>
      <c r="N7">
        <v>5470</v>
      </c>
      <c r="O7">
        <v>5952</v>
      </c>
      <c r="P7">
        <v>6389</v>
      </c>
      <c r="Q7">
        <v>6956</v>
      </c>
      <c r="R7">
        <v>7276</v>
      </c>
      <c r="S7">
        <v>8016</v>
      </c>
      <c r="T7">
        <v>8478</v>
      </c>
      <c r="U7">
        <v>8767</v>
      </c>
      <c r="V7">
        <v>8785</v>
      </c>
      <c r="W7">
        <v>8913</v>
      </c>
      <c r="X7">
        <v>9401</v>
      </c>
      <c r="Y7">
        <v>9693</v>
      </c>
      <c r="Z7">
        <v>10225</v>
      </c>
      <c r="AA7">
        <v>11025</v>
      </c>
      <c r="AB7">
        <v>11490</v>
      </c>
      <c r="AC7">
        <v>12113</v>
      </c>
      <c r="AD7">
        <v>12711</v>
      </c>
      <c r="AE7">
        <v>13526</v>
      </c>
      <c r="AF7">
        <v>14480</v>
      </c>
      <c r="AG7" s="49">
        <f>AF7*(AG28/AF28)</f>
        <v>15281.682744897125</v>
      </c>
      <c r="AH7" s="49">
        <f>AG7*(AH28/AG28)</f>
        <v>15737.270707385709</v>
      </c>
    </row>
    <row r="8" spans="2:34" x14ac:dyDescent="0.35">
      <c r="B8" t="s">
        <v>453</v>
      </c>
      <c r="AG8" s="49"/>
      <c r="AH8" s="49"/>
    </row>
    <row r="9" spans="2:34" x14ac:dyDescent="0.35">
      <c r="B9" s="25" t="s">
        <v>454</v>
      </c>
      <c r="C9">
        <v>1194</v>
      </c>
      <c r="D9">
        <v>1304</v>
      </c>
      <c r="E9">
        <v>1423</v>
      </c>
      <c r="F9">
        <v>1518</v>
      </c>
      <c r="G9">
        <v>1588</v>
      </c>
      <c r="H9">
        <v>1705</v>
      </c>
      <c r="I9">
        <v>1632</v>
      </c>
      <c r="J9">
        <v>1618</v>
      </c>
      <c r="K9">
        <v>1680</v>
      </c>
      <c r="L9">
        <v>1733</v>
      </c>
      <c r="M9">
        <v>1933</v>
      </c>
      <c r="N9">
        <v>2001</v>
      </c>
      <c r="O9">
        <v>2185</v>
      </c>
      <c r="P9">
        <v>2276</v>
      </c>
      <c r="Q9">
        <v>2505</v>
      </c>
      <c r="R9">
        <v>2613</v>
      </c>
      <c r="S9">
        <v>2793</v>
      </c>
      <c r="T9">
        <v>3040</v>
      </c>
      <c r="U9">
        <v>3187</v>
      </c>
      <c r="V9">
        <v>3206</v>
      </c>
      <c r="W9">
        <v>3184</v>
      </c>
      <c r="X9">
        <v>3495</v>
      </c>
      <c r="Y9">
        <v>3622</v>
      </c>
      <c r="Z9">
        <v>3732</v>
      </c>
      <c r="AA9">
        <v>4043</v>
      </c>
      <c r="AB9">
        <v>4145</v>
      </c>
      <c r="AC9">
        <v>4342</v>
      </c>
      <c r="AD9">
        <v>4591</v>
      </c>
      <c r="AE9">
        <v>4901</v>
      </c>
      <c r="AF9">
        <v>5324</v>
      </c>
      <c r="AG9" s="49"/>
      <c r="AH9" s="49"/>
    </row>
    <row r="10" spans="2:34" x14ac:dyDescent="0.35">
      <c r="B10" s="25" t="s">
        <v>455</v>
      </c>
      <c r="C10">
        <v>848</v>
      </c>
      <c r="D10">
        <v>898</v>
      </c>
      <c r="E10">
        <v>977</v>
      </c>
      <c r="F10">
        <v>1103</v>
      </c>
      <c r="G10">
        <v>1234</v>
      </c>
      <c r="H10">
        <v>1371</v>
      </c>
      <c r="I10">
        <v>1370</v>
      </c>
      <c r="J10">
        <v>1456</v>
      </c>
      <c r="K10">
        <v>1404</v>
      </c>
      <c r="L10">
        <v>1400</v>
      </c>
      <c r="M10">
        <v>1375</v>
      </c>
      <c r="N10">
        <v>1505</v>
      </c>
      <c r="O10">
        <v>1618</v>
      </c>
      <c r="P10">
        <v>1685</v>
      </c>
      <c r="Q10">
        <v>1773</v>
      </c>
      <c r="R10">
        <v>1891</v>
      </c>
      <c r="S10">
        <v>2139</v>
      </c>
      <c r="T10">
        <v>2202</v>
      </c>
      <c r="U10">
        <v>2277</v>
      </c>
      <c r="V10">
        <v>2320</v>
      </c>
      <c r="W10">
        <v>2447</v>
      </c>
      <c r="X10">
        <v>2537</v>
      </c>
      <c r="Y10">
        <v>2560</v>
      </c>
      <c r="Z10">
        <v>2640</v>
      </c>
      <c r="AA10">
        <v>2801</v>
      </c>
      <c r="AB10">
        <v>2978</v>
      </c>
      <c r="AC10">
        <v>3179</v>
      </c>
      <c r="AD10">
        <v>3316</v>
      </c>
      <c r="AE10">
        <v>3520</v>
      </c>
      <c r="AF10">
        <v>3813</v>
      </c>
      <c r="AG10" s="49"/>
      <c r="AH10" s="49"/>
    </row>
    <row r="11" spans="2:34" x14ac:dyDescent="0.35">
      <c r="B11" s="25" t="s">
        <v>456</v>
      </c>
      <c r="C11">
        <v>92</v>
      </c>
      <c r="D11">
        <v>104</v>
      </c>
      <c r="E11">
        <v>115</v>
      </c>
      <c r="F11">
        <v>117</v>
      </c>
      <c r="G11">
        <v>117</v>
      </c>
      <c r="H11">
        <v>111</v>
      </c>
      <c r="I11">
        <v>108</v>
      </c>
      <c r="J11">
        <v>117</v>
      </c>
      <c r="K11">
        <v>125</v>
      </c>
      <c r="L11">
        <v>143</v>
      </c>
      <c r="M11">
        <v>161</v>
      </c>
      <c r="N11">
        <v>191</v>
      </c>
      <c r="O11">
        <v>200</v>
      </c>
      <c r="P11">
        <v>224</v>
      </c>
      <c r="Q11">
        <v>237</v>
      </c>
      <c r="R11">
        <v>238</v>
      </c>
      <c r="S11">
        <v>273</v>
      </c>
      <c r="T11">
        <v>286</v>
      </c>
      <c r="U11">
        <v>294</v>
      </c>
      <c r="V11">
        <v>290</v>
      </c>
      <c r="W11">
        <v>295</v>
      </c>
      <c r="X11">
        <v>303</v>
      </c>
      <c r="Y11">
        <v>311</v>
      </c>
      <c r="Z11">
        <v>338</v>
      </c>
      <c r="AA11">
        <v>358</v>
      </c>
      <c r="AB11">
        <v>337</v>
      </c>
      <c r="AC11">
        <v>357</v>
      </c>
      <c r="AD11">
        <v>389</v>
      </c>
      <c r="AE11">
        <v>410</v>
      </c>
      <c r="AF11">
        <v>454</v>
      </c>
      <c r="AG11" s="49"/>
      <c r="AH11" s="49"/>
    </row>
    <row r="12" spans="2:34" x14ac:dyDescent="0.35">
      <c r="B12" s="25" t="s">
        <v>457</v>
      </c>
      <c r="C12">
        <v>191</v>
      </c>
      <c r="D12">
        <v>217</v>
      </c>
      <c r="E12">
        <v>239</v>
      </c>
      <c r="F12">
        <v>248</v>
      </c>
      <c r="G12">
        <v>263</v>
      </c>
      <c r="H12">
        <v>265</v>
      </c>
      <c r="I12">
        <v>265</v>
      </c>
      <c r="J12">
        <v>265</v>
      </c>
      <c r="K12">
        <v>287</v>
      </c>
      <c r="L12">
        <v>298</v>
      </c>
      <c r="M12">
        <v>321</v>
      </c>
      <c r="N12">
        <v>353</v>
      </c>
      <c r="O12">
        <v>363</v>
      </c>
      <c r="P12">
        <v>379</v>
      </c>
      <c r="Q12">
        <v>412</v>
      </c>
      <c r="R12">
        <v>414</v>
      </c>
      <c r="S12">
        <v>456</v>
      </c>
      <c r="T12">
        <v>474</v>
      </c>
      <c r="U12">
        <v>476</v>
      </c>
      <c r="V12">
        <v>485</v>
      </c>
      <c r="W12">
        <v>486</v>
      </c>
      <c r="X12">
        <v>478</v>
      </c>
      <c r="Y12">
        <v>478</v>
      </c>
      <c r="Z12">
        <v>477</v>
      </c>
      <c r="AA12">
        <v>488</v>
      </c>
      <c r="AB12">
        <v>496</v>
      </c>
      <c r="AC12">
        <v>529</v>
      </c>
      <c r="AD12">
        <v>545</v>
      </c>
      <c r="AE12">
        <v>582</v>
      </c>
      <c r="AF12">
        <v>585</v>
      </c>
      <c r="AG12" s="49"/>
      <c r="AH12" s="49"/>
    </row>
    <row r="13" spans="2:34" x14ac:dyDescent="0.35">
      <c r="B13" s="25" t="s">
        <v>458</v>
      </c>
      <c r="C13">
        <v>16</v>
      </c>
      <c r="D13">
        <v>19</v>
      </c>
      <c r="E13">
        <v>26</v>
      </c>
      <c r="F13">
        <v>35</v>
      </c>
      <c r="G13">
        <v>49</v>
      </c>
      <c r="H13">
        <v>61</v>
      </c>
      <c r="I13">
        <v>77</v>
      </c>
      <c r="J13">
        <v>78</v>
      </c>
      <c r="K13">
        <v>82</v>
      </c>
      <c r="L13">
        <v>85</v>
      </c>
      <c r="M13">
        <v>94</v>
      </c>
      <c r="N13">
        <v>107</v>
      </c>
      <c r="O13">
        <v>110</v>
      </c>
      <c r="P13">
        <v>116</v>
      </c>
      <c r="Q13">
        <v>148</v>
      </c>
      <c r="R13">
        <v>144</v>
      </c>
      <c r="S13">
        <v>144</v>
      </c>
      <c r="T13">
        <v>148</v>
      </c>
      <c r="U13">
        <v>156</v>
      </c>
      <c r="V13">
        <v>160</v>
      </c>
      <c r="W13">
        <v>169</v>
      </c>
      <c r="X13">
        <v>184</v>
      </c>
      <c r="Y13">
        <v>204</v>
      </c>
      <c r="Z13">
        <v>233</v>
      </c>
      <c r="AA13">
        <v>257</v>
      </c>
      <c r="AB13">
        <v>278</v>
      </c>
      <c r="AC13">
        <v>302</v>
      </c>
      <c r="AD13">
        <v>320</v>
      </c>
      <c r="AE13">
        <v>339</v>
      </c>
      <c r="AF13">
        <v>345</v>
      </c>
      <c r="AG13" s="49"/>
      <c r="AH13" s="49"/>
    </row>
    <row r="14" spans="2:34" x14ac:dyDescent="0.35">
      <c r="B14" s="25" t="s">
        <v>459</v>
      </c>
      <c r="C14">
        <v>332</v>
      </c>
      <c r="D14">
        <v>334</v>
      </c>
      <c r="E14">
        <v>360</v>
      </c>
      <c r="F14">
        <v>363</v>
      </c>
      <c r="G14">
        <v>369</v>
      </c>
      <c r="H14">
        <v>381</v>
      </c>
      <c r="I14">
        <v>420</v>
      </c>
      <c r="J14">
        <v>454</v>
      </c>
      <c r="K14">
        <v>511</v>
      </c>
      <c r="L14">
        <v>539</v>
      </c>
      <c r="M14">
        <v>619</v>
      </c>
      <c r="N14">
        <v>715</v>
      </c>
      <c r="O14">
        <v>816</v>
      </c>
      <c r="P14">
        <v>975</v>
      </c>
      <c r="Q14">
        <v>1070</v>
      </c>
      <c r="R14">
        <v>1134</v>
      </c>
      <c r="S14">
        <v>1232</v>
      </c>
      <c r="T14">
        <v>1326</v>
      </c>
      <c r="U14">
        <v>1405</v>
      </c>
      <c r="V14">
        <v>1380</v>
      </c>
      <c r="W14">
        <v>1387</v>
      </c>
      <c r="X14">
        <v>1440</v>
      </c>
      <c r="Y14">
        <v>1508</v>
      </c>
      <c r="Z14">
        <v>1758</v>
      </c>
      <c r="AA14">
        <v>1979</v>
      </c>
      <c r="AB14">
        <v>2095</v>
      </c>
      <c r="AC14">
        <v>2207</v>
      </c>
      <c r="AD14">
        <v>2304</v>
      </c>
      <c r="AE14">
        <v>2440</v>
      </c>
      <c r="AF14">
        <v>2565</v>
      </c>
      <c r="AG14" s="49"/>
      <c r="AH14" s="49"/>
    </row>
    <row r="15" spans="2:34" x14ac:dyDescent="0.35">
      <c r="B15" s="25" t="s">
        <v>460</v>
      </c>
      <c r="C15">
        <v>57</v>
      </c>
      <c r="D15">
        <v>61</v>
      </c>
      <c r="E15">
        <v>66</v>
      </c>
      <c r="F15">
        <v>76</v>
      </c>
      <c r="G15">
        <v>84</v>
      </c>
      <c r="H15">
        <v>97</v>
      </c>
      <c r="I15">
        <v>111</v>
      </c>
      <c r="J15">
        <v>121</v>
      </c>
      <c r="K15">
        <v>122</v>
      </c>
      <c r="L15">
        <v>136</v>
      </c>
      <c r="M15">
        <v>128</v>
      </c>
      <c r="N15">
        <v>146</v>
      </c>
      <c r="O15">
        <v>154</v>
      </c>
      <c r="P15">
        <v>168</v>
      </c>
      <c r="Q15">
        <v>186</v>
      </c>
      <c r="R15">
        <v>205</v>
      </c>
      <c r="S15">
        <v>223</v>
      </c>
      <c r="T15">
        <v>222</v>
      </c>
      <c r="U15">
        <v>221</v>
      </c>
      <c r="V15">
        <v>209</v>
      </c>
      <c r="W15">
        <v>209</v>
      </c>
      <c r="X15">
        <v>219</v>
      </c>
      <c r="Y15">
        <v>226</v>
      </c>
      <c r="Z15">
        <v>236</v>
      </c>
      <c r="AA15">
        <v>248</v>
      </c>
      <c r="AB15">
        <v>262</v>
      </c>
      <c r="AC15">
        <v>270</v>
      </c>
      <c r="AD15">
        <v>279</v>
      </c>
      <c r="AE15">
        <v>294</v>
      </c>
      <c r="AF15">
        <v>286</v>
      </c>
      <c r="AG15" s="49"/>
      <c r="AH15" s="49"/>
    </row>
    <row r="16" spans="2:34" x14ac:dyDescent="0.35">
      <c r="B16" s="25" t="s">
        <v>461</v>
      </c>
      <c r="C16">
        <v>146</v>
      </c>
      <c r="D16">
        <v>151</v>
      </c>
      <c r="E16">
        <v>151</v>
      </c>
      <c r="F16">
        <v>150</v>
      </c>
      <c r="G16">
        <v>155</v>
      </c>
      <c r="H16">
        <v>166</v>
      </c>
      <c r="I16">
        <v>182</v>
      </c>
      <c r="J16">
        <v>200</v>
      </c>
      <c r="K16">
        <v>202</v>
      </c>
      <c r="L16">
        <v>215</v>
      </c>
      <c r="M16">
        <v>221</v>
      </c>
      <c r="N16">
        <v>260</v>
      </c>
      <c r="O16">
        <v>275</v>
      </c>
      <c r="P16">
        <v>301</v>
      </c>
      <c r="Q16">
        <v>339</v>
      </c>
      <c r="R16">
        <v>362</v>
      </c>
      <c r="S16">
        <v>400</v>
      </c>
      <c r="T16">
        <v>427</v>
      </c>
      <c r="U16">
        <v>451</v>
      </c>
      <c r="V16">
        <v>456</v>
      </c>
      <c r="W16">
        <v>461</v>
      </c>
      <c r="X16">
        <v>466</v>
      </c>
      <c r="Y16">
        <v>493</v>
      </c>
      <c r="Z16">
        <v>515</v>
      </c>
      <c r="AA16">
        <v>538</v>
      </c>
      <c r="AB16">
        <v>580</v>
      </c>
      <c r="AC16">
        <v>606</v>
      </c>
      <c r="AD16">
        <v>621</v>
      </c>
      <c r="AE16">
        <v>661</v>
      </c>
      <c r="AF16">
        <v>739</v>
      </c>
      <c r="AG16" s="49"/>
      <c r="AH16" s="49"/>
    </row>
    <row r="17" spans="2:34" x14ac:dyDescent="0.35">
      <c r="B17" s="25" t="s">
        <v>462</v>
      </c>
      <c r="C17">
        <v>56</v>
      </c>
      <c r="D17">
        <v>52</v>
      </c>
      <c r="E17">
        <v>62</v>
      </c>
      <c r="F17">
        <v>78</v>
      </c>
      <c r="G17">
        <v>95</v>
      </c>
      <c r="H17">
        <v>78</v>
      </c>
      <c r="I17">
        <v>83</v>
      </c>
      <c r="J17">
        <v>97</v>
      </c>
      <c r="K17">
        <v>116</v>
      </c>
      <c r="L17">
        <v>152</v>
      </c>
      <c r="M17">
        <v>168</v>
      </c>
      <c r="N17">
        <v>192</v>
      </c>
      <c r="O17">
        <v>230</v>
      </c>
      <c r="P17">
        <v>266</v>
      </c>
      <c r="Q17">
        <v>286</v>
      </c>
      <c r="R17">
        <v>274</v>
      </c>
      <c r="S17">
        <v>355</v>
      </c>
      <c r="T17">
        <v>354</v>
      </c>
      <c r="U17">
        <v>298</v>
      </c>
      <c r="V17">
        <v>278</v>
      </c>
      <c r="W17">
        <v>275</v>
      </c>
      <c r="X17">
        <v>279</v>
      </c>
      <c r="Y17">
        <v>289</v>
      </c>
      <c r="Z17">
        <v>296</v>
      </c>
      <c r="AA17">
        <v>312</v>
      </c>
      <c r="AB17">
        <v>319</v>
      </c>
      <c r="AC17">
        <v>321</v>
      </c>
      <c r="AD17">
        <v>347</v>
      </c>
      <c r="AE17">
        <v>378</v>
      </c>
      <c r="AF17">
        <v>370</v>
      </c>
      <c r="AG17" s="49"/>
      <c r="AH17" s="49"/>
    </row>
    <row r="18" spans="2:34" x14ac:dyDescent="0.35">
      <c r="B18" s="26" t="s">
        <v>463</v>
      </c>
      <c r="AG18" s="49"/>
      <c r="AH18" s="49"/>
    </row>
    <row r="19" spans="2:34" x14ac:dyDescent="0.35">
      <c r="B19" s="25" t="s">
        <v>464</v>
      </c>
      <c r="C19">
        <v>362</v>
      </c>
      <c r="D19">
        <v>406</v>
      </c>
      <c r="E19">
        <v>449</v>
      </c>
      <c r="F19">
        <v>502</v>
      </c>
      <c r="G19">
        <v>559</v>
      </c>
      <c r="H19">
        <v>587</v>
      </c>
      <c r="I19">
        <v>619</v>
      </c>
      <c r="J19">
        <v>612</v>
      </c>
      <c r="K19">
        <v>657</v>
      </c>
      <c r="L19">
        <v>721</v>
      </c>
      <c r="M19">
        <v>821</v>
      </c>
      <c r="N19">
        <v>879</v>
      </c>
      <c r="O19">
        <v>925</v>
      </c>
      <c r="P19">
        <v>989</v>
      </c>
      <c r="Q19">
        <v>1043</v>
      </c>
      <c r="R19">
        <v>1219</v>
      </c>
      <c r="S19">
        <v>1293</v>
      </c>
      <c r="T19">
        <v>1438</v>
      </c>
      <c r="U19">
        <v>1540</v>
      </c>
      <c r="V19">
        <v>1624</v>
      </c>
      <c r="W19">
        <v>1734</v>
      </c>
      <c r="X19">
        <v>1840</v>
      </c>
      <c r="Y19">
        <v>1900</v>
      </c>
      <c r="Z19">
        <v>2026</v>
      </c>
      <c r="AA19">
        <v>2152</v>
      </c>
      <c r="AB19">
        <v>2269</v>
      </c>
      <c r="AC19">
        <v>2351</v>
      </c>
      <c r="AD19">
        <v>2490</v>
      </c>
      <c r="AE19">
        <v>2688</v>
      </c>
      <c r="AF19">
        <v>2762</v>
      </c>
      <c r="AG19" s="49">
        <f>AF19*(AG32/AF32)</f>
        <v>3053.8828104635395</v>
      </c>
      <c r="AH19" s="49">
        <f>AG19*(AH32/AG32)</f>
        <v>3177.7962848378729</v>
      </c>
    </row>
    <row r="20" spans="2:34" x14ac:dyDescent="0.35">
      <c r="B20" s="25" t="s">
        <v>288</v>
      </c>
      <c r="C20">
        <v>250</v>
      </c>
      <c r="D20">
        <v>270</v>
      </c>
      <c r="E20">
        <v>336</v>
      </c>
      <c r="F20">
        <v>459</v>
      </c>
      <c r="G20">
        <v>620</v>
      </c>
      <c r="H20">
        <v>543</v>
      </c>
      <c r="I20">
        <v>568</v>
      </c>
      <c r="J20">
        <v>536</v>
      </c>
      <c r="K20">
        <v>567</v>
      </c>
      <c r="L20">
        <v>589</v>
      </c>
      <c r="M20">
        <v>599</v>
      </c>
      <c r="N20">
        <v>685</v>
      </c>
      <c r="O20">
        <v>738</v>
      </c>
      <c r="P20">
        <v>876</v>
      </c>
      <c r="Q20">
        <v>981</v>
      </c>
      <c r="R20">
        <v>889</v>
      </c>
      <c r="S20">
        <v>1041</v>
      </c>
      <c r="T20">
        <v>1115</v>
      </c>
      <c r="U20">
        <v>1100</v>
      </c>
      <c r="V20">
        <v>1330</v>
      </c>
      <c r="W20">
        <v>1383</v>
      </c>
      <c r="X20">
        <v>1238</v>
      </c>
      <c r="Y20">
        <v>1427</v>
      </c>
      <c r="Z20">
        <v>1719</v>
      </c>
      <c r="AA20">
        <v>1715</v>
      </c>
      <c r="AB20">
        <v>1884</v>
      </c>
      <c r="AC20">
        <v>1929</v>
      </c>
      <c r="AD20">
        <v>1853</v>
      </c>
      <c r="AE20">
        <v>1903</v>
      </c>
      <c r="AF20">
        <v>1987</v>
      </c>
      <c r="AG20" s="49">
        <f>AF20*(AG33/AF33)</f>
        <v>2179.9470520479049</v>
      </c>
      <c r="AH20" s="49">
        <f>AG20*(AH33/AG33)</f>
        <v>2385.3689104325499</v>
      </c>
    </row>
    <row r="21" spans="2:34" x14ac:dyDescent="0.35">
      <c r="B21" s="25" t="s">
        <v>465</v>
      </c>
      <c r="C21" t="s">
        <v>466</v>
      </c>
      <c r="D21" t="s">
        <v>466</v>
      </c>
      <c r="E21" t="s">
        <v>466</v>
      </c>
      <c r="F21" t="s">
        <v>466</v>
      </c>
      <c r="G21" t="s">
        <v>466</v>
      </c>
      <c r="H21" t="s">
        <v>466</v>
      </c>
      <c r="I21" t="s">
        <v>466</v>
      </c>
      <c r="J21" t="s">
        <v>466</v>
      </c>
      <c r="K21" t="s">
        <v>466</v>
      </c>
      <c r="L21" t="s">
        <v>466</v>
      </c>
      <c r="M21">
        <v>1839</v>
      </c>
      <c r="N21">
        <v>1809</v>
      </c>
      <c r="O21">
        <v>2016</v>
      </c>
      <c r="P21">
        <v>2371</v>
      </c>
      <c r="Q21">
        <v>2687</v>
      </c>
      <c r="R21">
        <v>2797</v>
      </c>
      <c r="S21">
        <v>2937</v>
      </c>
      <c r="T21">
        <v>2950</v>
      </c>
      <c r="U21">
        <v>2929</v>
      </c>
      <c r="V21">
        <v>3066</v>
      </c>
      <c r="W21">
        <v>3210</v>
      </c>
      <c r="X21">
        <v>3307</v>
      </c>
      <c r="Y21">
        <v>3149</v>
      </c>
      <c r="Z21">
        <v>3385</v>
      </c>
      <c r="AA21">
        <v>3631</v>
      </c>
      <c r="AB21">
        <v>3970</v>
      </c>
      <c r="AC21">
        <v>4173</v>
      </c>
      <c r="AD21">
        <v>4463</v>
      </c>
      <c r="AE21">
        <v>4497</v>
      </c>
      <c r="AF21">
        <v>4115</v>
      </c>
      <c r="AG21" s="49">
        <f>AF21*(AG31/AF31)</f>
        <v>4509.2507545435828</v>
      </c>
      <c r="AH21" s="49">
        <f>AG21*(AH31/AG31)</f>
        <v>4610.9566206491336</v>
      </c>
    </row>
    <row r="22" spans="2:34" x14ac:dyDescent="0.35">
      <c r="B22" s="25" t="s">
        <v>467</v>
      </c>
      <c r="C22" t="s">
        <v>466</v>
      </c>
      <c r="D22" t="s">
        <v>466</v>
      </c>
      <c r="E22" t="s">
        <v>466</v>
      </c>
      <c r="F22" t="s">
        <v>466</v>
      </c>
      <c r="G22" t="s">
        <v>466</v>
      </c>
      <c r="H22" t="s">
        <v>466</v>
      </c>
      <c r="I22" t="s">
        <v>466</v>
      </c>
      <c r="J22" t="s">
        <v>466</v>
      </c>
      <c r="K22" t="s">
        <v>466</v>
      </c>
      <c r="L22" t="s">
        <v>466</v>
      </c>
      <c r="M22">
        <f>M7-SUM(M19:M21)</f>
        <v>1760</v>
      </c>
      <c r="N22">
        <f t="shared" ref="N22:AE22" si="0">N7-SUM(N19:N21)</f>
        <v>2097</v>
      </c>
      <c r="O22">
        <f t="shared" si="0"/>
        <v>2273</v>
      </c>
      <c r="P22">
        <f t="shared" si="0"/>
        <v>2153</v>
      </c>
      <c r="Q22">
        <f t="shared" si="0"/>
        <v>2245</v>
      </c>
      <c r="R22">
        <f t="shared" si="0"/>
        <v>2371</v>
      </c>
      <c r="S22">
        <f t="shared" si="0"/>
        <v>2745</v>
      </c>
      <c r="T22">
        <f t="shared" si="0"/>
        <v>2975</v>
      </c>
      <c r="U22">
        <f t="shared" si="0"/>
        <v>3198</v>
      </c>
      <c r="V22">
        <f t="shared" si="0"/>
        <v>2765</v>
      </c>
      <c r="W22">
        <f t="shared" si="0"/>
        <v>2586</v>
      </c>
      <c r="X22">
        <f t="shared" si="0"/>
        <v>3016</v>
      </c>
      <c r="Y22">
        <f t="shared" si="0"/>
        <v>3217</v>
      </c>
      <c r="Z22">
        <f t="shared" si="0"/>
        <v>3095</v>
      </c>
      <c r="AA22">
        <f t="shared" si="0"/>
        <v>3527</v>
      </c>
      <c r="AB22">
        <f t="shared" si="0"/>
        <v>3367</v>
      </c>
      <c r="AC22">
        <f t="shared" si="0"/>
        <v>3660</v>
      </c>
      <c r="AD22">
        <f t="shared" si="0"/>
        <v>3905</v>
      </c>
      <c r="AE22">
        <f t="shared" si="0"/>
        <v>4438</v>
      </c>
      <c r="AF22">
        <f t="shared" ref="AF22" si="1">AF7-SUM(AF19:AF21)</f>
        <v>5616</v>
      </c>
      <c r="AG22" s="49">
        <f>AG7-SUM(AG19:AG21)</f>
        <v>5538.6021278420976</v>
      </c>
      <c r="AH22" s="49">
        <f>AH7-SUM(AH19:AH21)</f>
        <v>5563.1488914661531</v>
      </c>
    </row>
    <row r="24" spans="2:34" x14ac:dyDescent="0.35">
      <c r="B24" t="s">
        <v>468</v>
      </c>
    </row>
    <row r="26" spans="2:34" x14ac:dyDescent="0.35">
      <c r="B26" t="s">
        <v>523</v>
      </c>
    </row>
    <row r="27" spans="2:34" x14ac:dyDescent="0.35">
      <c r="B27" t="s">
        <v>534</v>
      </c>
      <c r="C27" t="s">
        <v>532</v>
      </c>
      <c r="D27" t="s">
        <v>532</v>
      </c>
      <c r="E27" t="s">
        <v>532</v>
      </c>
      <c r="F27" t="s">
        <v>532</v>
      </c>
      <c r="G27" t="s">
        <v>532</v>
      </c>
      <c r="H27" t="s">
        <v>532</v>
      </c>
      <c r="I27" t="s">
        <v>532</v>
      </c>
      <c r="J27" t="s">
        <v>532</v>
      </c>
      <c r="K27" t="s">
        <v>532</v>
      </c>
      <c r="L27" t="s">
        <v>532</v>
      </c>
      <c r="M27" t="s">
        <v>532</v>
      </c>
      <c r="N27" t="s">
        <v>532</v>
      </c>
      <c r="O27" t="s">
        <v>532</v>
      </c>
      <c r="P27" t="s">
        <v>532</v>
      </c>
      <c r="Q27" t="s">
        <v>532</v>
      </c>
      <c r="R27" t="s">
        <v>532</v>
      </c>
      <c r="S27" t="s">
        <v>532</v>
      </c>
      <c r="T27" t="s">
        <v>532</v>
      </c>
      <c r="U27" t="s">
        <v>532</v>
      </c>
      <c r="V27" t="s">
        <v>532</v>
      </c>
      <c r="W27" t="s">
        <v>532</v>
      </c>
      <c r="X27" t="s">
        <v>532</v>
      </c>
      <c r="Y27" t="s">
        <v>532</v>
      </c>
      <c r="Z27" t="s">
        <v>532</v>
      </c>
      <c r="AA27" t="s">
        <v>532</v>
      </c>
      <c r="AB27" t="s">
        <v>532</v>
      </c>
      <c r="AC27" t="s">
        <v>532</v>
      </c>
      <c r="AD27" t="s">
        <v>532</v>
      </c>
      <c r="AE27" t="s">
        <v>532</v>
      </c>
      <c r="AF27" t="s">
        <v>532</v>
      </c>
      <c r="AG27" t="s">
        <v>532</v>
      </c>
      <c r="AH27" t="s">
        <v>533</v>
      </c>
    </row>
    <row r="28" spans="2:34" x14ac:dyDescent="0.35">
      <c r="B28" s="25" t="s">
        <v>524</v>
      </c>
      <c r="C28">
        <v>672590</v>
      </c>
      <c r="D28">
        <v>728263</v>
      </c>
      <c r="E28">
        <v>775483</v>
      </c>
      <c r="F28">
        <v>817657</v>
      </c>
      <c r="G28">
        <v>866471</v>
      </c>
      <c r="H28">
        <v>914642</v>
      </c>
      <c r="I28">
        <v>965620</v>
      </c>
      <c r="J28">
        <v>1019190</v>
      </c>
      <c r="K28">
        <v>1078770</v>
      </c>
      <c r="L28">
        <v>1156548</v>
      </c>
      <c r="M28">
        <v>1256534</v>
      </c>
      <c r="N28">
        <v>1365481</v>
      </c>
      <c r="O28">
        <v>1475864</v>
      </c>
      <c r="P28">
        <v>1582380</v>
      </c>
      <c r="Q28">
        <v>1693830</v>
      </c>
      <c r="R28">
        <v>1806451</v>
      </c>
      <c r="S28">
        <v>1921490</v>
      </c>
      <c r="T28">
        <v>2007153</v>
      </c>
      <c r="U28">
        <v>2105465</v>
      </c>
      <c r="V28">
        <v>2180461</v>
      </c>
      <c r="W28">
        <v>2253897</v>
      </c>
      <c r="X28">
        <v>2346203</v>
      </c>
      <c r="Y28">
        <v>2405174</v>
      </c>
      <c r="Z28">
        <v>2527085</v>
      </c>
      <c r="AA28">
        <v>2674257</v>
      </c>
      <c r="AB28">
        <v>2795557</v>
      </c>
      <c r="AC28">
        <v>2903812</v>
      </c>
      <c r="AD28">
        <v>3019768</v>
      </c>
      <c r="AE28">
        <v>3173081</v>
      </c>
      <c r="AF28">
        <v>3366975</v>
      </c>
      <c r="AG28">
        <v>3553387</v>
      </c>
      <c r="AH28">
        <v>3659323</v>
      </c>
    </row>
    <row r="29" spans="2:34" x14ac:dyDescent="0.35">
      <c r="B29" s="25" t="s">
        <v>525</v>
      </c>
      <c r="C29">
        <v>136771</v>
      </c>
      <c r="D29">
        <v>139139</v>
      </c>
      <c r="E29">
        <v>140251</v>
      </c>
      <c r="F29">
        <v>138262</v>
      </c>
      <c r="G29">
        <v>140809</v>
      </c>
      <c r="H29">
        <v>146076</v>
      </c>
      <c r="I29">
        <v>156144</v>
      </c>
      <c r="J29">
        <v>170998</v>
      </c>
      <c r="K29">
        <v>180883</v>
      </c>
      <c r="L29">
        <v>193555</v>
      </c>
      <c r="M29">
        <v>200879</v>
      </c>
      <c r="N29">
        <v>219144</v>
      </c>
      <c r="O29">
        <v>235149</v>
      </c>
      <c r="P29">
        <v>248415</v>
      </c>
      <c r="Q29">
        <v>264486</v>
      </c>
      <c r="R29">
        <v>277950</v>
      </c>
      <c r="S29">
        <v>293596</v>
      </c>
      <c r="T29">
        <v>300063</v>
      </c>
      <c r="U29">
        <v>296656</v>
      </c>
      <c r="V29">
        <v>301469</v>
      </c>
      <c r="W29">
        <v>310195</v>
      </c>
      <c r="X29">
        <v>323198</v>
      </c>
      <c r="Y29">
        <v>330965</v>
      </c>
      <c r="Z29">
        <v>340811</v>
      </c>
      <c r="AA29">
        <v>353504</v>
      </c>
      <c r="AB29">
        <v>365936</v>
      </c>
      <c r="AC29">
        <v>372891</v>
      </c>
      <c r="AD29">
        <v>386811</v>
      </c>
      <c r="AE29">
        <v>402950</v>
      </c>
      <c r="AF29">
        <v>392291</v>
      </c>
      <c r="AG29">
        <v>433153</v>
      </c>
      <c r="AH29">
        <v>451769</v>
      </c>
    </row>
    <row r="30" spans="2:34" x14ac:dyDescent="0.35">
      <c r="B30" s="25" t="s">
        <v>526</v>
      </c>
      <c r="C30">
        <v>449890</v>
      </c>
      <c r="D30">
        <v>497885</v>
      </c>
      <c r="E30">
        <v>539486</v>
      </c>
      <c r="F30">
        <v>580587</v>
      </c>
      <c r="G30">
        <v>622917</v>
      </c>
      <c r="H30">
        <v>661600</v>
      </c>
      <c r="I30">
        <v>695988</v>
      </c>
      <c r="J30">
        <v>724084</v>
      </c>
      <c r="K30">
        <v>769635</v>
      </c>
      <c r="L30">
        <v>832923</v>
      </c>
      <c r="M30">
        <v>919882</v>
      </c>
      <c r="N30">
        <v>1004590</v>
      </c>
      <c r="O30">
        <v>1087923</v>
      </c>
      <c r="P30">
        <v>1173616</v>
      </c>
      <c r="Q30">
        <v>1261487</v>
      </c>
      <c r="R30">
        <v>1350344</v>
      </c>
      <c r="S30">
        <v>1436541</v>
      </c>
      <c r="T30">
        <v>1517210</v>
      </c>
      <c r="U30">
        <v>1611332</v>
      </c>
      <c r="V30">
        <v>1670155</v>
      </c>
      <c r="W30">
        <v>1732655</v>
      </c>
      <c r="X30">
        <v>1797812</v>
      </c>
      <c r="Y30">
        <v>1839961</v>
      </c>
      <c r="Z30">
        <v>1948766</v>
      </c>
      <c r="AA30">
        <v>2076133</v>
      </c>
      <c r="AB30">
        <v>2170033</v>
      </c>
      <c r="AC30">
        <v>2258185</v>
      </c>
      <c r="AD30">
        <v>2348454</v>
      </c>
      <c r="AE30">
        <v>2468133</v>
      </c>
      <c r="AF30">
        <v>2492365</v>
      </c>
      <c r="AG30">
        <v>2739322</v>
      </c>
      <c r="AH30">
        <v>2869460</v>
      </c>
    </row>
    <row r="31" spans="2:34" x14ac:dyDescent="0.35">
      <c r="B31" s="25" t="s">
        <v>527</v>
      </c>
      <c r="C31">
        <v>220640</v>
      </c>
      <c r="D31">
        <v>238289</v>
      </c>
      <c r="E31">
        <v>251658</v>
      </c>
      <c r="F31">
        <v>264460</v>
      </c>
      <c r="G31">
        <v>280632</v>
      </c>
      <c r="H31">
        <v>296833</v>
      </c>
      <c r="I31">
        <v>314035</v>
      </c>
      <c r="J31">
        <v>335670</v>
      </c>
      <c r="K31">
        <v>361065</v>
      </c>
      <c r="L31">
        <v>394791</v>
      </c>
      <c r="M31">
        <v>432967</v>
      </c>
      <c r="N31">
        <v>472719</v>
      </c>
      <c r="O31">
        <v>511790</v>
      </c>
      <c r="P31">
        <v>545587</v>
      </c>
      <c r="Q31">
        <v>587113</v>
      </c>
      <c r="R31">
        <v>618482</v>
      </c>
      <c r="S31">
        <v>656211</v>
      </c>
      <c r="T31">
        <v>679584</v>
      </c>
      <c r="U31">
        <v>709206</v>
      </c>
      <c r="V31">
        <v>725362</v>
      </c>
      <c r="W31">
        <v>752526</v>
      </c>
      <c r="X31">
        <v>778670</v>
      </c>
      <c r="Y31">
        <v>779946</v>
      </c>
      <c r="Z31">
        <v>815474</v>
      </c>
      <c r="AA31">
        <v>870211</v>
      </c>
      <c r="AB31">
        <v>918639</v>
      </c>
      <c r="AC31">
        <v>957678</v>
      </c>
      <c r="AD31">
        <v>990353</v>
      </c>
      <c r="AE31">
        <v>1029837</v>
      </c>
      <c r="AF31">
        <v>995635</v>
      </c>
      <c r="AG31">
        <v>1091025</v>
      </c>
      <c r="AH31">
        <v>1115633</v>
      </c>
    </row>
    <row r="32" spans="2:34" x14ac:dyDescent="0.35">
      <c r="B32" t="s">
        <v>528</v>
      </c>
      <c r="C32">
        <v>117123</v>
      </c>
      <c r="D32">
        <v>132191</v>
      </c>
      <c r="E32">
        <v>145978</v>
      </c>
      <c r="F32">
        <v>163101</v>
      </c>
      <c r="G32">
        <v>179427</v>
      </c>
      <c r="H32">
        <v>193018</v>
      </c>
      <c r="I32">
        <v>203362</v>
      </c>
      <c r="J32">
        <v>201562</v>
      </c>
      <c r="K32">
        <v>206035</v>
      </c>
      <c r="L32">
        <v>216333</v>
      </c>
      <c r="M32">
        <v>239111</v>
      </c>
      <c r="N32">
        <v>256551</v>
      </c>
      <c r="O32">
        <v>274001</v>
      </c>
      <c r="P32">
        <v>300096</v>
      </c>
      <c r="Q32">
        <v>326278</v>
      </c>
      <c r="R32">
        <v>382298</v>
      </c>
      <c r="S32">
        <v>408708</v>
      </c>
      <c r="T32">
        <v>442013</v>
      </c>
      <c r="U32">
        <v>470086</v>
      </c>
      <c r="V32">
        <v>488820</v>
      </c>
      <c r="W32">
        <v>511818</v>
      </c>
      <c r="X32">
        <v>533612</v>
      </c>
      <c r="Y32">
        <v>553539</v>
      </c>
      <c r="Z32">
        <v>579273</v>
      </c>
      <c r="AA32">
        <v>606235</v>
      </c>
      <c r="AB32">
        <v>629020</v>
      </c>
      <c r="AC32">
        <v>659132</v>
      </c>
      <c r="AD32">
        <v>696689</v>
      </c>
      <c r="AE32">
        <v>746641</v>
      </c>
      <c r="AF32">
        <v>759590</v>
      </c>
      <c r="AG32">
        <v>839862</v>
      </c>
      <c r="AH32">
        <v>873940</v>
      </c>
    </row>
    <row r="33" spans="2:34" x14ac:dyDescent="0.35">
      <c r="B33" t="s">
        <v>529</v>
      </c>
      <c r="C33">
        <v>88921</v>
      </c>
      <c r="D33">
        <v>103417</v>
      </c>
      <c r="E33">
        <v>116453</v>
      </c>
      <c r="F33">
        <v>126856</v>
      </c>
      <c r="G33">
        <v>136250</v>
      </c>
      <c r="H33">
        <v>144510</v>
      </c>
      <c r="I33">
        <v>151352</v>
      </c>
      <c r="J33">
        <v>158316</v>
      </c>
      <c r="K33">
        <v>171281</v>
      </c>
      <c r="L33">
        <v>186943</v>
      </c>
      <c r="M33">
        <v>208435</v>
      </c>
      <c r="N33">
        <v>230096</v>
      </c>
      <c r="O33">
        <v>249447</v>
      </c>
      <c r="P33">
        <v>270746</v>
      </c>
      <c r="Q33">
        <v>287581</v>
      </c>
      <c r="R33">
        <v>283315</v>
      </c>
      <c r="S33">
        <v>301114</v>
      </c>
      <c r="T33">
        <v>317890</v>
      </c>
      <c r="U33">
        <v>346347</v>
      </c>
      <c r="V33">
        <v>365707</v>
      </c>
      <c r="W33">
        <v>373684</v>
      </c>
      <c r="X33">
        <v>388256</v>
      </c>
      <c r="Y33">
        <v>405666</v>
      </c>
      <c r="Z33">
        <v>446921</v>
      </c>
      <c r="AA33">
        <v>484506</v>
      </c>
      <c r="AB33">
        <v>503379</v>
      </c>
      <c r="AC33">
        <v>516017</v>
      </c>
      <c r="AD33">
        <v>531540</v>
      </c>
      <c r="AE33">
        <v>553564</v>
      </c>
      <c r="AF33">
        <v>587747</v>
      </c>
      <c r="AG33">
        <v>644820</v>
      </c>
      <c r="AH33">
        <v>705583</v>
      </c>
    </row>
    <row r="34" spans="2:34" x14ac:dyDescent="0.35">
      <c r="B34" t="s">
        <v>530</v>
      </c>
      <c r="C34">
        <v>23205</v>
      </c>
      <c r="D34">
        <v>23987</v>
      </c>
      <c r="E34">
        <v>25398</v>
      </c>
      <c r="F34">
        <v>26170</v>
      </c>
      <c r="G34">
        <v>26607</v>
      </c>
      <c r="H34">
        <v>27239</v>
      </c>
      <c r="I34">
        <v>27239</v>
      </c>
      <c r="J34">
        <v>28537</v>
      </c>
      <c r="K34">
        <v>31255</v>
      </c>
      <c r="L34">
        <v>34856</v>
      </c>
      <c r="M34">
        <v>39369</v>
      </c>
      <c r="N34">
        <v>45224</v>
      </c>
      <c r="O34">
        <v>52685</v>
      </c>
      <c r="P34">
        <v>57188</v>
      </c>
      <c r="Q34">
        <v>60515</v>
      </c>
      <c r="R34">
        <v>66249</v>
      </c>
      <c r="S34">
        <v>70509</v>
      </c>
      <c r="T34">
        <v>77724</v>
      </c>
      <c r="U34">
        <v>85693</v>
      </c>
      <c r="V34">
        <v>90266</v>
      </c>
      <c r="W34">
        <v>94626</v>
      </c>
      <c r="X34">
        <v>97275</v>
      </c>
      <c r="Y34">
        <v>100810</v>
      </c>
      <c r="Z34">
        <v>107098</v>
      </c>
      <c r="AA34">
        <v>115181</v>
      </c>
      <c r="AB34">
        <v>118994</v>
      </c>
      <c r="AC34">
        <v>125358</v>
      </c>
      <c r="AD34">
        <v>129871</v>
      </c>
      <c r="AE34">
        <v>138090</v>
      </c>
      <c r="AF34">
        <v>149394</v>
      </c>
      <c r="AG34">
        <v>163614</v>
      </c>
      <c r="AH34">
        <v>174304</v>
      </c>
    </row>
    <row r="35" spans="2:34" x14ac:dyDescent="0.35">
      <c r="B35" t="s">
        <v>531</v>
      </c>
      <c r="C35">
        <v>85929</v>
      </c>
      <c r="D35">
        <v>91239</v>
      </c>
      <c r="E35">
        <v>95745</v>
      </c>
      <c r="F35">
        <v>98808</v>
      </c>
      <c r="G35">
        <v>102746</v>
      </c>
      <c r="H35">
        <v>106966</v>
      </c>
      <c r="I35">
        <v>113488</v>
      </c>
      <c r="J35">
        <v>124108</v>
      </c>
      <c r="K35">
        <v>128252</v>
      </c>
      <c r="L35">
        <v>130070</v>
      </c>
      <c r="M35">
        <v>135773</v>
      </c>
      <c r="N35">
        <v>141747</v>
      </c>
      <c r="O35">
        <v>152793</v>
      </c>
      <c r="P35">
        <v>160349</v>
      </c>
      <c r="Q35">
        <v>167856</v>
      </c>
      <c r="R35">
        <v>178157</v>
      </c>
      <c r="S35">
        <v>191353</v>
      </c>
      <c r="T35">
        <v>189879</v>
      </c>
      <c r="U35">
        <v>197476</v>
      </c>
      <c r="V35">
        <v>208837</v>
      </c>
      <c r="W35">
        <v>211047</v>
      </c>
      <c r="X35">
        <v>225193</v>
      </c>
      <c r="Y35">
        <v>234247</v>
      </c>
      <c r="Z35">
        <v>237509</v>
      </c>
      <c r="AA35">
        <v>244620</v>
      </c>
      <c r="AB35">
        <v>259588</v>
      </c>
      <c r="AC35">
        <v>272736</v>
      </c>
      <c r="AD35">
        <v>284504</v>
      </c>
      <c r="AE35">
        <v>301998</v>
      </c>
      <c r="AF35">
        <v>482319</v>
      </c>
      <c r="AG35">
        <v>380912</v>
      </c>
      <c r="AH35">
        <v>338094</v>
      </c>
    </row>
    <row r="36" spans="2:34" x14ac:dyDescent="0.35">
      <c r="B36" s="12" t="s">
        <v>535</v>
      </c>
    </row>
  </sheetData>
  <hyperlinks>
    <hyperlink ref="B4" r:id="rId1" xr:uid="{7C04CE90-12D4-40E2-BFA7-A1E6C84A9020}"/>
    <hyperlink ref="B36" r:id="rId2" xr:uid="{4D00A2EF-235C-4268-A1E6-1CECB3441994}"/>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40545-FE67-46D7-BE61-D0731DF353C0}">
  <dimension ref="B2:L38"/>
  <sheetViews>
    <sheetView workbookViewId="0">
      <selection activeCell="I7" sqref="I7"/>
    </sheetView>
  </sheetViews>
  <sheetFormatPr defaultColWidth="8.7265625" defaultRowHeight="14.5" x14ac:dyDescent="0.35"/>
  <cols>
    <col min="1" max="1" width="8.7265625" style="2"/>
    <col min="2" max="2" width="41.7265625" style="2" customWidth="1"/>
    <col min="3" max="8" width="8.7265625" style="2"/>
    <col min="9" max="9" width="8.81640625" style="2" bestFit="1" customWidth="1"/>
    <col min="10" max="16384" width="8.7265625" style="2"/>
  </cols>
  <sheetData>
    <row r="2" spans="2:12" x14ac:dyDescent="0.35">
      <c r="B2" s="1" t="s">
        <v>27</v>
      </c>
    </row>
    <row r="3" spans="2:12" x14ac:dyDescent="0.35">
      <c r="B3" s="3" t="s">
        <v>28</v>
      </c>
    </row>
    <row r="5" spans="2:12" x14ac:dyDescent="0.35">
      <c r="B5" s="5"/>
      <c r="C5" s="5">
        <v>1997</v>
      </c>
      <c r="D5" s="5">
        <f>C5+5</f>
        <v>2002</v>
      </c>
      <c r="E5" s="5">
        <f t="shared" ref="E5:F5" si="0">D5+5</f>
        <v>2007</v>
      </c>
      <c r="F5" s="5">
        <f t="shared" si="0"/>
        <v>2012</v>
      </c>
      <c r="G5" s="5">
        <v>2017</v>
      </c>
    </row>
    <row r="6" spans="2:12" x14ac:dyDescent="0.35">
      <c r="B6" s="2" t="s">
        <v>29</v>
      </c>
      <c r="C6" s="4">
        <v>36259.162936928522</v>
      </c>
      <c r="D6" s="4">
        <v>41981.642154765825</v>
      </c>
      <c r="E6" s="4">
        <v>63106.996230068864</v>
      </c>
      <c r="F6" s="4">
        <v>71453.889096537721</v>
      </c>
      <c r="G6" s="4">
        <v>82169.623751252526</v>
      </c>
      <c r="H6" s="15"/>
    </row>
    <row r="7" spans="2:12" x14ac:dyDescent="0.35">
      <c r="B7" s="2" t="s">
        <v>30</v>
      </c>
      <c r="C7" s="4">
        <v>20225.904080983273</v>
      </c>
      <c r="D7" s="4">
        <v>24771.304226300599</v>
      </c>
      <c r="E7" s="4">
        <v>34491.542596484825</v>
      </c>
      <c r="F7" s="4">
        <v>43045.390472136103</v>
      </c>
      <c r="G7" s="4">
        <v>53919.465846394341</v>
      </c>
    </row>
    <row r="8" spans="2:12" x14ac:dyDescent="0.35">
      <c r="B8" s="2" t="s">
        <v>31</v>
      </c>
      <c r="C8" s="4">
        <v>10033.508967830085</v>
      </c>
      <c r="D8" s="4">
        <v>9443.5468746207425</v>
      </c>
      <c r="E8" s="4">
        <v>13916.441037043913</v>
      </c>
      <c r="F8" s="4">
        <v>15044.003540105748</v>
      </c>
      <c r="G8" s="4">
        <v>17819.204376902875</v>
      </c>
      <c r="H8" s="4"/>
      <c r="I8" s="15"/>
    </row>
    <row r="9" spans="2:12" x14ac:dyDescent="0.35">
      <c r="B9" s="2" t="s">
        <v>32</v>
      </c>
      <c r="C9" s="4">
        <v>2483.6549316323908</v>
      </c>
      <c r="D9" s="4">
        <v>3642.3723110296819</v>
      </c>
      <c r="E9" s="4">
        <v>8839.0432280164914</v>
      </c>
      <c r="F9" s="4">
        <v>6076.1431350780094</v>
      </c>
      <c r="G9" s="4">
        <v>7719.6314858453534</v>
      </c>
      <c r="I9" s="15"/>
    </row>
    <row r="10" spans="2:12" x14ac:dyDescent="0.35">
      <c r="B10" s="2" t="s">
        <v>33</v>
      </c>
      <c r="C10" s="4">
        <v>4348.0193600370903</v>
      </c>
      <c r="D10" s="4">
        <v>5590.4766815775602</v>
      </c>
      <c r="E10" s="4">
        <v>7175.1075133361301</v>
      </c>
      <c r="F10" s="4">
        <v>8326.8992985127115</v>
      </c>
      <c r="G10" s="4">
        <v>8696.4067310060091</v>
      </c>
    </row>
    <row r="11" spans="2:12" x14ac:dyDescent="0.35">
      <c r="B11" s="2" t="s">
        <v>34</v>
      </c>
      <c r="C11" s="4">
        <v>5118.407007782961</v>
      </c>
      <c r="D11" s="4">
        <v>6018.3283168337848</v>
      </c>
      <c r="E11" s="4">
        <v>8141.6877787236399</v>
      </c>
      <c r="F11" s="4">
        <v>9449.3007112554733</v>
      </c>
      <c r="G11" s="4">
        <v>9234.79343112477</v>
      </c>
    </row>
    <row r="12" spans="2:12" x14ac:dyDescent="0.35">
      <c r="B12" s="2" t="s">
        <v>35</v>
      </c>
      <c r="C12" s="4">
        <v>471.86778652569501</v>
      </c>
      <c r="D12" s="4">
        <v>556.83985551332285</v>
      </c>
      <c r="E12" s="4">
        <v>823.02766696997583</v>
      </c>
      <c r="F12" s="4">
        <v>958.59936092187809</v>
      </c>
      <c r="G12" s="4">
        <v>960.32387950963164</v>
      </c>
    </row>
    <row r="13" spans="2:12" x14ac:dyDescent="0.35">
      <c r="B13" s="2" t="s">
        <v>36</v>
      </c>
      <c r="C13" s="4">
        <v>-6422.1991978629731</v>
      </c>
      <c r="D13" s="4">
        <v>-8041.2261111098724</v>
      </c>
      <c r="E13" s="4">
        <v>-10279.853590506114</v>
      </c>
      <c r="F13" s="4">
        <v>-11446.447421472201</v>
      </c>
      <c r="G13" s="4">
        <v>-16180.201999530447</v>
      </c>
    </row>
    <row r="14" spans="2:12" x14ac:dyDescent="0.35">
      <c r="B14" s="6" t="s">
        <v>37</v>
      </c>
      <c r="C14" s="4">
        <v>2194.0751286417626</v>
      </c>
      <c r="D14" s="4">
        <v>2344.9484891373127</v>
      </c>
      <c r="E14" s="4">
        <v>3931.8464290482798</v>
      </c>
      <c r="F14" s="4">
        <v>4511.2536769631752</v>
      </c>
      <c r="G14" s="4">
        <v>5679.6260315585014</v>
      </c>
    </row>
    <row r="15" spans="2:12" x14ac:dyDescent="0.35">
      <c r="B15" s="6" t="s">
        <v>38</v>
      </c>
      <c r="C15" s="4">
        <v>8616.2743265047357</v>
      </c>
      <c r="D15" s="4">
        <v>10386.174600247185</v>
      </c>
      <c r="E15" s="4">
        <v>14211.700019554395</v>
      </c>
      <c r="F15" s="4">
        <v>15957.701098435376</v>
      </c>
      <c r="G15" s="4">
        <v>21859.82803108895</v>
      </c>
      <c r="L15" s="15"/>
    </row>
    <row r="16" spans="2:12" x14ac:dyDescent="0.35">
      <c r="C16" s="4"/>
      <c r="D16" s="4"/>
      <c r="E16" s="4"/>
      <c r="F16" s="4"/>
      <c r="G16" s="4"/>
    </row>
    <row r="17" spans="2:9" x14ac:dyDescent="0.35">
      <c r="B17" s="2" t="s">
        <v>39</v>
      </c>
      <c r="C17" s="4">
        <v>38536.975320314086</v>
      </c>
      <c r="D17" s="4">
        <v>43807.000083892905</v>
      </c>
      <c r="E17" s="4">
        <v>64212</v>
      </c>
      <c r="F17" s="4">
        <v>72307</v>
      </c>
      <c r="G17" s="4">
        <v>89428.451000000001</v>
      </c>
    </row>
    <row r="18" spans="2:9" x14ac:dyDescent="0.35">
      <c r="B18" s="2" t="s">
        <v>5</v>
      </c>
      <c r="C18" s="4">
        <v>21626.233766412319</v>
      </c>
      <c r="D18" s="4">
        <v>26221.999927872213</v>
      </c>
      <c r="E18" s="4">
        <v>36685</v>
      </c>
      <c r="F18" s="4">
        <v>39861</v>
      </c>
      <c r="G18" s="4">
        <v>47346.506999999998</v>
      </c>
      <c r="H18" s="4"/>
      <c r="I18" s="16"/>
    </row>
    <row r="19" spans="2:9" x14ac:dyDescent="0.35">
      <c r="B19" s="2" t="s">
        <v>40</v>
      </c>
      <c r="C19" s="4">
        <v>2087.9613037544013</v>
      </c>
      <c r="D19" s="4">
        <v>2403.9673759008533</v>
      </c>
      <c r="E19" s="4">
        <v>3718.612000000001</v>
      </c>
      <c r="F19" s="4">
        <v>4400.8059999999987</v>
      </c>
      <c r="G19" s="4">
        <v>6178.3590000000004</v>
      </c>
    </row>
    <row r="20" spans="2:9" x14ac:dyDescent="0.35">
      <c r="B20" s="2" t="s">
        <v>41</v>
      </c>
      <c r="C20" s="4">
        <v>3159.4714233196028</v>
      </c>
      <c r="D20" s="4">
        <v>3118.0000146487387</v>
      </c>
      <c r="E20" s="4">
        <v>5201</v>
      </c>
      <c r="F20" s="4">
        <v>6319</v>
      </c>
      <c r="G20" s="4">
        <v>7826.1160000000009</v>
      </c>
    </row>
    <row r="21" spans="2:9" x14ac:dyDescent="0.35">
      <c r="B21" s="2" t="s">
        <v>42</v>
      </c>
      <c r="C21" s="4">
        <v>11663.308826827768</v>
      </c>
      <c r="D21" s="4">
        <v>12063.032765471098</v>
      </c>
      <c r="E21" s="4">
        <v>18607.387999999995</v>
      </c>
      <c r="F21" s="4">
        <v>21726.194</v>
      </c>
      <c r="G21" s="4">
        <v>28077.468999999994</v>
      </c>
    </row>
    <row r="22" spans="2:9" x14ac:dyDescent="0.35">
      <c r="B22" s="17" t="s">
        <v>43</v>
      </c>
      <c r="C22" s="10">
        <v>-2277.8123833855643</v>
      </c>
      <c r="D22" s="10">
        <v>-1825.3579291270798</v>
      </c>
      <c r="E22" s="10">
        <v>-1105.003769931136</v>
      </c>
      <c r="F22" s="10">
        <v>-853.11090346227866</v>
      </c>
      <c r="G22" s="10">
        <v>-7258.8272487474751</v>
      </c>
    </row>
    <row r="23" spans="2:9" x14ac:dyDescent="0.35">
      <c r="C23" s="4"/>
      <c r="D23" s="4"/>
      <c r="E23" s="4"/>
      <c r="F23" s="4"/>
    </row>
    <row r="24" spans="2:9" x14ac:dyDescent="0.35">
      <c r="B24" s="2" t="s">
        <v>475</v>
      </c>
      <c r="C24" s="4"/>
      <c r="D24" s="4"/>
      <c r="E24" s="4"/>
      <c r="F24" s="4"/>
    </row>
    <row r="25" spans="2:9" x14ac:dyDescent="0.35">
      <c r="B25" s="2" t="s">
        <v>476</v>
      </c>
      <c r="C25" s="4"/>
      <c r="D25" s="4"/>
      <c r="E25" s="4"/>
      <c r="F25" s="4">
        <v>6006.4274516026744</v>
      </c>
      <c r="G25" s="4">
        <v>8268.0163312883014</v>
      </c>
    </row>
    <row r="26" spans="2:9" x14ac:dyDescent="0.35">
      <c r="B26" s="2" t="s">
        <v>477</v>
      </c>
      <c r="C26" s="4"/>
      <c r="D26" s="4"/>
      <c r="E26" s="4"/>
      <c r="F26" s="4">
        <v>6298.0455109999984</v>
      </c>
      <c r="G26" s="4">
        <v>7515.3230780000013</v>
      </c>
    </row>
    <row r="27" spans="2:9" x14ac:dyDescent="0.35">
      <c r="B27" s="2" t="s">
        <v>478</v>
      </c>
      <c r="C27" s="4"/>
      <c r="D27" s="4"/>
      <c r="E27" s="4"/>
      <c r="F27" s="4">
        <v>1651.2120069999996</v>
      </c>
      <c r="G27" s="4">
        <v>2285.9559859999999</v>
      </c>
    </row>
    <row r="28" spans="2:9" x14ac:dyDescent="0.35">
      <c r="B28" s="2" t="s">
        <v>479</v>
      </c>
      <c r="C28" s="4"/>
      <c r="D28" s="4"/>
      <c r="E28" s="4"/>
      <c r="F28" s="4">
        <v>3026.3206110000006</v>
      </c>
      <c r="G28" s="4">
        <v>3620.0835810000012</v>
      </c>
    </row>
    <row r="29" spans="2:9" x14ac:dyDescent="0.35">
      <c r="B29" s="2" t="s">
        <v>480</v>
      </c>
      <c r="C29" s="4"/>
      <c r="D29" s="4"/>
      <c r="E29" s="4"/>
      <c r="F29" s="4">
        <v>343.79910100000001</v>
      </c>
      <c r="G29" s="4">
        <v>504.917934</v>
      </c>
    </row>
    <row r="30" spans="2:9" x14ac:dyDescent="0.35">
      <c r="B30" s="17" t="s">
        <v>481</v>
      </c>
      <c r="C30" s="10"/>
      <c r="D30" s="10"/>
      <c r="E30" s="10"/>
      <c r="F30" s="10">
        <v>1276.7137919999998</v>
      </c>
      <c r="G30" s="45">
        <v>1104.365577</v>
      </c>
    </row>
    <row r="32" spans="2:9" x14ac:dyDescent="0.35">
      <c r="B32" s="2" t="s">
        <v>44</v>
      </c>
    </row>
    <row r="33" spans="2:2" x14ac:dyDescent="0.35">
      <c r="B33" s="2" t="s">
        <v>45</v>
      </c>
    </row>
    <row r="34" spans="2:2" x14ac:dyDescent="0.35">
      <c r="B34" s="12" t="s">
        <v>46</v>
      </c>
    </row>
    <row r="35" spans="2:2" x14ac:dyDescent="0.35">
      <c r="B35" s="12" t="s">
        <v>482</v>
      </c>
    </row>
    <row r="36" spans="2:2" x14ac:dyDescent="0.35">
      <c r="B36" s="12" t="s">
        <v>483</v>
      </c>
    </row>
    <row r="37" spans="2:2" x14ac:dyDescent="0.35">
      <c r="B37" s="12" t="s">
        <v>484</v>
      </c>
    </row>
    <row r="38" spans="2:2" x14ac:dyDescent="0.35">
      <c r="B38" s="13" t="s">
        <v>485</v>
      </c>
    </row>
  </sheetData>
  <hyperlinks>
    <hyperlink ref="B34" r:id="rId1" xr:uid="{77F7B846-90D7-45CD-8227-6DDFB6EF8A9C}"/>
    <hyperlink ref="B35" r:id="rId2" xr:uid="{EAB57A7C-9086-4462-B13F-BADD8F5021EC}"/>
    <hyperlink ref="B36" r:id="rId3" xr:uid="{DEF6107E-C44D-4F01-9BB2-409AACE867D6}"/>
    <hyperlink ref="B37" r:id="rId4" xr:uid="{EBF0581F-D773-4E7C-92D5-4D0D5A2FAF44}"/>
    <hyperlink ref="B38" r:id="rId5" xr:uid="{2132B1F9-2705-41E5-B6D5-7CEA8EC4141C}"/>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BC055-CA7E-489D-A396-94510031FD87}">
  <dimension ref="B2:O20"/>
  <sheetViews>
    <sheetView workbookViewId="0">
      <selection activeCell="B2" sqref="B2"/>
    </sheetView>
  </sheetViews>
  <sheetFormatPr defaultRowHeight="14.5" x14ac:dyDescent="0.35"/>
  <cols>
    <col min="2" max="2" width="33" bestFit="1" customWidth="1"/>
  </cols>
  <sheetData>
    <row r="2" spans="2:15" x14ac:dyDescent="0.35">
      <c r="B2" s="119" t="s">
        <v>662</v>
      </c>
    </row>
    <row r="3" spans="2:15" x14ac:dyDescent="0.35">
      <c r="B3" t="s">
        <v>663</v>
      </c>
    </row>
    <row r="5" spans="2:15" x14ac:dyDescent="0.35">
      <c r="C5">
        <v>2010</v>
      </c>
      <c r="D5">
        <f>C5+1</f>
        <v>2011</v>
      </c>
      <c r="E5">
        <f t="shared" ref="E5:O5" si="0">D5+1</f>
        <v>2012</v>
      </c>
      <c r="F5">
        <f t="shared" si="0"/>
        <v>2013</v>
      </c>
      <c r="G5">
        <f t="shared" si="0"/>
        <v>2014</v>
      </c>
      <c r="H5">
        <f t="shared" si="0"/>
        <v>2015</v>
      </c>
      <c r="I5">
        <f t="shared" si="0"/>
        <v>2016</v>
      </c>
      <c r="J5">
        <f t="shared" si="0"/>
        <v>2017</v>
      </c>
      <c r="K5">
        <f t="shared" si="0"/>
        <v>2018</v>
      </c>
      <c r="L5">
        <f t="shared" si="0"/>
        <v>2019</v>
      </c>
      <c r="M5">
        <f t="shared" si="0"/>
        <v>2020</v>
      </c>
      <c r="N5">
        <f t="shared" si="0"/>
        <v>2021</v>
      </c>
      <c r="O5">
        <f t="shared" si="0"/>
        <v>2022</v>
      </c>
    </row>
    <row r="6" spans="2:15" x14ac:dyDescent="0.35">
      <c r="B6" t="s">
        <v>649</v>
      </c>
    </row>
    <row r="7" spans="2:15" x14ac:dyDescent="0.35">
      <c r="B7" s="25" t="s">
        <v>653</v>
      </c>
      <c r="C7">
        <v>547.66967499999998</v>
      </c>
      <c r="D7">
        <v>538.69284900000002</v>
      </c>
      <c r="E7">
        <v>548.35339399999998</v>
      </c>
      <c r="F7">
        <v>581.44721300000003</v>
      </c>
      <c r="G7">
        <v>653.12769700000001</v>
      </c>
      <c r="H7">
        <v>717.79298100000005</v>
      </c>
      <c r="I7">
        <v>756.558222</v>
      </c>
      <c r="J7">
        <v>781.24421800000005</v>
      </c>
      <c r="K7">
        <v>847.59546599999999</v>
      </c>
      <c r="L7">
        <v>922.63533399999994</v>
      </c>
      <c r="M7">
        <v>1098.589013</v>
      </c>
      <c r="N7">
        <v>1281.5586960000001</v>
      </c>
      <c r="O7">
        <v>1242.139095</v>
      </c>
    </row>
    <row r="8" spans="2:15" x14ac:dyDescent="0.35">
      <c r="B8" s="25" t="s">
        <v>654</v>
      </c>
      <c r="C8">
        <v>360.04706800000002</v>
      </c>
      <c r="D8">
        <v>232.88006300000001</v>
      </c>
      <c r="E8">
        <v>182.40132399999999</v>
      </c>
      <c r="F8">
        <v>185.837186</v>
      </c>
      <c r="G8">
        <v>206.12733700000001</v>
      </c>
      <c r="H8">
        <v>223.50541899999999</v>
      </c>
      <c r="I8">
        <v>236.801861</v>
      </c>
      <c r="J8">
        <v>250.70406700000001</v>
      </c>
      <c r="K8">
        <v>259.42793399999999</v>
      </c>
      <c r="L8">
        <v>273.22357799999997</v>
      </c>
      <c r="M8">
        <v>287.398031</v>
      </c>
      <c r="N8">
        <v>300.62644599999999</v>
      </c>
      <c r="O8">
        <v>293.02755999999999</v>
      </c>
    </row>
    <row r="9" spans="2:15" x14ac:dyDescent="0.35">
      <c r="B9" s="25" t="s">
        <v>655</v>
      </c>
      <c r="C9">
        <v>1026.4612099999999</v>
      </c>
      <c r="D9">
        <v>2040.061555</v>
      </c>
      <c r="E9">
        <v>-57.798409999999997</v>
      </c>
      <c r="F9">
        <v>1331.2081539999999</v>
      </c>
      <c r="G9">
        <v>2175.479961</v>
      </c>
      <c r="H9">
        <v>556.43647499999997</v>
      </c>
      <c r="I9">
        <v>-169.36811</v>
      </c>
      <c r="J9">
        <v>1934.5125069999999</v>
      </c>
      <c r="K9">
        <v>1225.5725990000001</v>
      </c>
      <c r="L9">
        <v>932.69641200000001</v>
      </c>
      <c r="M9">
        <v>358.28266400000001</v>
      </c>
      <c r="N9">
        <v>4662.2257609999997</v>
      </c>
      <c r="O9">
        <v>164.55903499999999</v>
      </c>
    </row>
    <row r="10" spans="2:15" x14ac:dyDescent="0.35">
      <c r="B10" s="25" t="s">
        <v>658</v>
      </c>
      <c r="C10">
        <v>1934.1779529999999</v>
      </c>
      <c r="D10">
        <v>2811.6344669999999</v>
      </c>
      <c r="E10">
        <v>672.95630800000004</v>
      </c>
      <c r="F10">
        <v>2098.492553</v>
      </c>
      <c r="G10">
        <v>3034.7349949999998</v>
      </c>
      <c r="H10">
        <v>1497.7348750000001</v>
      </c>
      <c r="I10">
        <v>823.99197300000003</v>
      </c>
      <c r="J10">
        <v>2966.4607919999999</v>
      </c>
      <c r="K10">
        <v>2332.5959990000001</v>
      </c>
      <c r="L10">
        <v>2128.5553239999999</v>
      </c>
      <c r="M10">
        <v>1744.269708</v>
      </c>
      <c r="N10">
        <v>6244.410903</v>
      </c>
      <c r="O10">
        <v>1699.72569</v>
      </c>
    </row>
    <row r="11" spans="2:15" x14ac:dyDescent="0.35">
      <c r="B11" s="26" t="s">
        <v>650</v>
      </c>
    </row>
    <row r="12" spans="2:15" x14ac:dyDescent="0.35">
      <c r="B12" s="25" t="s">
        <v>607</v>
      </c>
      <c r="C12">
        <v>905.31534799999997</v>
      </c>
      <c r="D12">
        <v>960.21943199999998</v>
      </c>
      <c r="E12">
        <v>1015.447668</v>
      </c>
      <c r="F12">
        <v>1060.561148</v>
      </c>
      <c r="G12">
        <v>1122.4456419999999</v>
      </c>
      <c r="H12">
        <v>1170.74477</v>
      </c>
      <c r="I12">
        <v>1232.5893530000001</v>
      </c>
      <c r="J12">
        <v>1306.7889540000001</v>
      </c>
      <c r="K12">
        <v>1395.8813419999999</v>
      </c>
      <c r="L12">
        <v>1469.6348089999999</v>
      </c>
      <c r="M12">
        <v>1545.589761</v>
      </c>
      <c r="N12">
        <v>1651.431372</v>
      </c>
      <c r="O12">
        <v>1738.7514920000001</v>
      </c>
    </row>
    <row r="13" spans="2:15" x14ac:dyDescent="0.35">
      <c r="B13" s="25" t="s">
        <v>652</v>
      </c>
      <c r="C13">
        <v>7.5736189999999999</v>
      </c>
      <c r="D13">
        <v>7.9015089999999999</v>
      </c>
      <c r="E13">
        <v>7.1876059999999997</v>
      </c>
      <c r="F13">
        <v>7.2044110000000003</v>
      </c>
      <c r="G13">
        <v>8.4759689999999992</v>
      </c>
      <c r="H13">
        <v>10.507887999999999</v>
      </c>
      <c r="I13">
        <v>12.927671999999999</v>
      </c>
      <c r="J13">
        <v>16.34029</v>
      </c>
      <c r="K13">
        <v>20.846499999999999</v>
      </c>
      <c r="L13">
        <v>16.502635000000001</v>
      </c>
      <c r="M13">
        <v>22.443593</v>
      </c>
      <c r="N13">
        <v>23.618435000000002</v>
      </c>
      <c r="O13">
        <v>24.454256000000001</v>
      </c>
    </row>
    <row r="14" spans="2:15" x14ac:dyDescent="0.35">
      <c r="B14" s="25" t="s">
        <v>656</v>
      </c>
      <c r="C14">
        <v>12.406338999999999</v>
      </c>
      <c r="D14">
        <v>13.325780999999999</v>
      </c>
      <c r="E14">
        <v>11.634197</v>
      </c>
      <c r="F14">
        <v>11.941445999999999</v>
      </c>
      <c r="G14">
        <v>12.62603</v>
      </c>
      <c r="H14">
        <v>14.032964</v>
      </c>
      <c r="I14">
        <v>13.960587</v>
      </c>
      <c r="J14">
        <v>14.986159000000001</v>
      </c>
      <c r="K14">
        <v>15.78449</v>
      </c>
      <c r="L14">
        <v>13.798866</v>
      </c>
      <c r="M14">
        <v>17.782865000000001</v>
      </c>
      <c r="N14">
        <v>19.049861</v>
      </c>
      <c r="O14">
        <v>17.497620999999999</v>
      </c>
    </row>
    <row r="15" spans="2:15" x14ac:dyDescent="0.35">
      <c r="B15" s="25" t="s">
        <v>657</v>
      </c>
      <c r="C15">
        <v>925.29530599999998</v>
      </c>
      <c r="D15">
        <v>981.44672200000002</v>
      </c>
      <c r="E15">
        <v>1034.2694710000001</v>
      </c>
      <c r="F15">
        <v>1079.707005</v>
      </c>
      <c r="G15">
        <v>1143.5476410000001</v>
      </c>
      <c r="H15">
        <v>1195.2856220000001</v>
      </c>
      <c r="I15">
        <v>1259.4776119999999</v>
      </c>
      <c r="J15">
        <v>1338.115403</v>
      </c>
      <c r="K15">
        <v>1432.512332</v>
      </c>
      <c r="L15">
        <v>1499.93631</v>
      </c>
      <c r="M15">
        <v>1585.816219</v>
      </c>
      <c r="N15">
        <v>1694.0996680000001</v>
      </c>
      <c r="O15">
        <v>1780.7033690000001</v>
      </c>
    </row>
    <row r="16" spans="2:15" x14ac:dyDescent="0.35">
      <c r="B16" s="26" t="s">
        <v>659</v>
      </c>
      <c r="C16">
        <v>1008.882647</v>
      </c>
      <c r="D16">
        <v>1830.1877449999999</v>
      </c>
      <c r="E16">
        <v>-361.31316299999997</v>
      </c>
      <c r="F16">
        <v>1018.7855479999999</v>
      </c>
      <c r="G16">
        <v>1891.1873539999999</v>
      </c>
      <c r="H16">
        <v>302.449253</v>
      </c>
      <c r="I16">
        <v>-435.48563899999999</v>
      </c>
      <c r="J16">
        <v>1628.3453890000001</v>
      </c>
      <c r="K16">
        <v>900.08366699999999</v>
      </c>
      <c r="L16">
        <v>628.61901399999999</v>
      </c>
      <c r="M16">
        <v>158.45348899999999</v>
      </c>
      <c r="N16">
        <v>4550.3112350000001</v>
      </c>
      <c r="O16">
        <v>-80.977678999999995</v>
      </c>
    </row>
    <row r="18" spans="2:15" x14ac:dyDescent="0.35">
      <c r="B18" s="26" t="s">
        <v>651</v>
      </c>
    </row>
    <row r="19" spans="2:15" x14ac:dyDescent="0.35">
      <c r="B19" s="25" t="s">
        <v>660</v>
      </c>
      <c r="C19">
        <v>8815.2851719999999</v>
      </c>
      <c r="D19">
        <v>9824.1678190000002</v>
      </c>
      <c r="E19">
        <v>11654.355564</v>
      </c>
      <c r="F19">
        <v>11293.042401000001</v>
      </c>
      <c r="G19">
        <v>12311.827949</v>
      </c>
      <c r="H19">
        <v>14203.015303</v>
      </c>
      <c r="I19">
        <v>14505.464556000001</v>
      </c>
      <c r="J19">
        <v>14069.978917</v>
      </c>
      <c r="K19">
        <v>15698.324306</v>
      </c>
      <c r="L19">
        <v>16598.407973000001</v>
      </c>
      <c r="M19">
        <v>17227.026987000001</v>
      </c>
      <c r="N19">
        <v>17385.480476000001</v>
      </c>
      <c r="O19">
        <v>21935.791711000002</v>
      </c>
    </row>
    <row r="20" spans="2:15" x14ac:dyDescent="0.35">
      <c r="B20" s="25" t="s">
        <v>661</v>
      </c>
      <c r="C20">
        <v>9824.1678190000002</v>
      </c>
      <c r="D20">
        <v>11654.355564</v>
      </c>
      <c r="E20">
        <v>11293.042401000001</v>
      </c>
      <c r="F20">
        <v>12311.827949</v>
      </c>
      <c r="G20">
        <v>14203.015303</v>
      </c>
      <c r="H20">
        <v>14505.464556000001</v>
      </c>
      <c r="I20">
        <v>14069.978917</v>
      </c>
      <c r="J20">
        <v>15698.324306</v>
      </c>
      <c r="K20">
        <v>16598.407973000001</v>
      </c>
      <c r="L20">
        <v>17227.026987000001</v>
      </c>
      <c r="M20">
        <v>17385.480476000001</v>
      </c>
      <c r="N20">
        <v>21935.791711000002</v>
      </c>
      <c r="O20">
        <v>21854.814031999998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B5238-0BCD-4A91-8AEC-50E8E9D32874}">
  <dimension ref="B2:O14"/>
  <sheetViews>
    <sheetView workbookViewId="0"/>
  </sheetViews>
  <sheetFormatPr defaultColWidth="8.7265625" defaultRowHeight="14.5" x14ac:dyDescent="0.35"/>
  <cols>
    <col min="1" max="1" width="8.7265625" style="2"/>
    <col min="2" max="2" width="32.54296875" style="2" customWidth="1"/>
    <col min="3" max="16384" width="8.7265625" style="2"/>
  </cols>
  <sheetData>
    <row r="2" spans="2:15" x14ac:dyDescent="0.35">
      <c r="B2" s="1" t="s">
        <v>604</v>
      </c>
    </row>
    <row r="3" spans="2:15" x14ac:dyDescent="0.35">
      <c r="B3" s="2" t="s">
        <v>605</v>
      </c>
    </row>
    <row r="5" spans="2:15" x14ac:dyDescent="0.35">
      <c r="B5" s="5"/>
      <c r="C5" s="5">
        <v>2010</v>
      </c>
      <c r="D5" s="5">
        <v>2011</v>
      </c>
      <c r="E5" s="5">
        <v>2012</v>
      </c>
      <c r="F5" s="5">
        <v>2013</v>
      </c>
      <c r="G5" s="5">
        <v>2014</v>
      </c>
      <c r="H5" s="5">
        <v>2015</v>
      </c>
      <c r="I5" s="5">
        <v>2016</v>
      </c>
      <c r="J5" s="5">
        <v>2017</v>
      </c>
      <c r="K5" s="5">
        <v>2018</v>
      </c>
      <c r="L5" s="5">
        <v>2019</v>
      </c>
      <c r="M5" s="5">
        <v>2020</v>
      </c>
      <c r="N5" s="5">
        <v>2021</v>
      </c>
      <c r="O5" s="5">
        <v>2022</v>
      </c>
    </row>
    <row r="6" spans="2:15" x14ac:dyDescent="0.35">
      <c r="B6" s="2" t="s">
        <v>122</v>
      </c>
      <c r="C6" s="2">
        <v>160.9</v>
      </c>
      <c r="D6" s="2">
        <v>275.7</v>
      </c>
      <c r="E6" s="2">
        <v>308.2</v>
      </c>
      <c r="F6" s="2">
        <v>392.1</v>
      </c>
      <c r="G6">
        <v>264.10000000000002</v>
      </c>
      <c r="H6" s="2">
        <v>200.2</v>
      </c>
      <c r="I6" s="2">
        <v>156</v>
      </c>
      <c r="J6" s="2">
        <v>155.6</v>
      </c>
      <c r="K6" s="2">
        <v>167.9</v>
      </c>
      <c r="L6" s="2">
        <v>174.5</v>
      </c>
      <c r="M6" s="2">
        <v>175.1</v>
      </c>
      <c r="N6" s="2">
        <v>220.1</v>
      </c>
      <c r="O6" s="2">
        <v>238</v>
      </c>
    </row>
    <row r="7" spans="2:15" x14ac:dyDescent="0.35">
      <c r="B7" s="2" t="s">
        <v>606</v>
      </c>
      <c r="C7" s="40">
        <v>1.9</v>
      </c>
      <c r="D7" s="40">
        <v>0.2</v>
      </c>
      <c r="E7" s="40">
        <v>1.5</v>
      </c>
      <c r="F7" s="40">
        <v>5</v>
      </c>
      <c r="G7" s="40">
        <v>8.6</v>
      </c>
      <c r="H7" s="40">
        <v>10.1</v>
      </c>
      <c r="I7" s="40">
        <v>11.3</v>
      </c>
      <c r="J7" s="40">
        <v>11.6</v>
      </c>
      <c r="K7" s="40">
        <v>12.3</v>
      </c>
      <c r="L7" s="40">
        <v>14</v>
      </c>
      <c r="M7" s="40">
        <v>6.3</v>
      </c>
      <c r="N7" s="40">
        <v>0.6</v>
      </c>
      <c r="O7" s="40">
        <v>2.7</v>
      </c>
    </row>
    <row r="8" spans="2:15" x14ac:dyDescent="0.35">
      <c r="B8" s="2" t="s">
        <v>607</v>
      </c>
      <c r="C8" s="40">
        <v>305.2</v>
      </c>
      <c r="D8" s="40">
        <v>245.3</v>
      </c>
      <c r="E8" s="40">
        <v>225</v>
      </c>
      <c r="F8" s="40">
        <v>199.1</v>
      </c>
      <c r="G8" s="40">
        <v>172.6</v>
      </c>
      <c r="H8" s="40">
        <v>134.80000000000001</v>
      </c>
      <c r="I8" s="40">
        <v>128.1</v>
      </c>
      <c r="J8" s="40">
        <v>159.6</v>
      </c>
      <c r="K8" s="40">
        <v>144.80000000000001</v>
      </c>
      <c r="L8" s="40">
        <v>145.80000000000001</v>
      </c>
      <c r="M8" s="40">
        <v>1496.1</v>
      </c>
      <c r="N8" s="40">
        <v>258.7</v>
      </c>
      <c r="O8" s="40">
        <v>142</v>
      </c>
    </row>
    <row r="9" spans="2:15" x14ac:dyDescent="0.35">
      <c r="B9" s="2" t="s">
        <v>608</v>
      </c>
      <c r="C9" s="40">
        <v>-11.6</v>
      </c>
      <c r="D9" s="40">
        <v>18.899999999999999</v>
      </c>
      <c r="E9" s="40">
        <v>103.7</v>
      </c>
      <c r="F9" s="40">
        <v>301.8</v>
      </c>
      <c r="G9" s="40">
        <v>400.5</v>
      </c>
      <c r="H9" s="40">
        <v>475.9</v>
      </c>
      <c r="I9" s="40">
        <v>515.1</v>
      </c>
      <c r="J9" s="40">
        <v>522.5</v>
      </c>
      <c r="K9" s="40">
        <v>557.79999999999995</v>
      </c>
      <c r="L9" s="40">
        <v>600.5</v>
      </c>
      <c r="M9" s="40">
        <v>44.1</v>
      </c>
      <c r="N9" s="40">
        <v>111.1</v>
      </c>
      <c r="O9" s="40">
        <v>249</v>
      </c>
    </row>
    <row r="10" spans="2:15" x14ac:dyDescent="0.35">
      <c r="B10" s="17" t="s">
        <v>609</v>
      </c>
      <c r="C10" s="41">
        <v>14.6</v>
      </c>
      <c r="D10" s="41">
        <v>0</v>
      </c>
      <c r="E10" s="41">
        <v>0</v>
      </c>
      <c r="F10" s="41">
        <v>0</v>
      </c>
      <c r="G10" s="41">
        <v>0</v>
      </c>
      <c r="H10" s="41">
        <v>0</v>
      </c>
      <c r="I10" s="41">
        <v>0</v>
      </c>
      <c r="J10" s="41">
        <v>0</v>
      </c>
      <c r="K10" s="41">
        <v>0</v>
      </c>
      <c r="L10" s="41">
        <v>0</v>
      </c>
      <c r="M10" s="41">
        <v>691.6</v>
      </c>
      <c r="N10" s="41">
        <v>8.4</v>
      </c>
      <c r="O10" s="41">
        <v>0</v>
      </c>
    </row>
    <row r="12" spans="2:15" x14ac:dyDescent="0.35">
      <c r="B12" s="12" t="s">
        <v>610</v>
      </c>
    </row>
    <row r="14" spans="2:15" x14ac:dyDescent="0.35">
      <c r="B14" s="2" t="s">
        <v>611</v>
      </c>
    </row>
  </sheetData>
  <hyperlinks>
    <hyperlink ref="B12" r:id="rId1" xr:uid="{6F83AEC0-3400-4ABB-A757-F4D15CF308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49683-5213-47D6-9A07-99F7E3642B20}">
  <sheetPr>
    <tabColor theme="5"/>
  </sheetPr>
  <dimension ref="B2:R215"/>
  <sheetViews>
    <sheetView zoomScale="90" zoomScaleNormal="90" workbookViewId="0"/>
  </sheetViews>
  <sheetFormatPr defaultRowHeight="14.5" x14ac:dyDescent="0.35"/>
  <cols>
    <col min="1" max="1" width="8.7265625" style="2"/>
    <col min="2" max="2" width="29.54296875" style="2" customWidth="1"/>
    <col min="3" max="3" width="1.6328125" style="2" customWidth="1"/>
    <col min="4" max="4" width="8.7265625" style="2"/>
    <col min="5" max="7" width="11.08984375" style="4" customWidth="1"/>
    <col min="8" max="8" width="55.453125" style="4" customWidth="1"/>
    <col min="9" max="9" width="8.7265625" style="4"/>
    <col min="10" max="10" width="9.36328125" style="4" bestFit="1" customWidth="1"/>
    <col min="11" max="14" width="8.7265625" style="4"/>
    <col min="15" max="16384" width="8.7265625" style="2"/>
  </cols>
  <sheetData>
    <row r="2" spans="2:9" x14ac:dyDescent="0.35">
      <c r="B2" s="44" t="s">
        <v>860</v>
      </c>
    </row>
    <row r="4" spans="2:9" ht="14.5" customHeight="1" x14ac:dyDescent="0.35">
      <c r="B4" s="108" t="s">
        <v>588</v>
      </c>
      <c r="E4" s="67" t="s">
        <v>861</v>
      </c>
    </row>
    <row r="5" spans="2:9" x14ac:dyDescent="0.35">
      <c r="B5" s="108"/>
      <c r="E5" s="4" t="s">
        <v>589</v>
      </c>
      <c r="F5" s="4" t="s">
        <v>401</v>
      </c>
      <c r="G5" s="4" t="s">
        <v>402</v>
      </c>
    </row>
    <row r="6" spans="2:9" x14ac:dyDescent="0.35">
      <c r="B6" s="108"/>
      <c r="E6" s="4">
        <f>E7+E8+E12</f>
        <v>10255.306528181616</v>
      </c>
      <c r="F6" s="4">
        <f>F7+F8+F12</f>
        <v>9532.8009494749313</v>
      </c>
      <c r="G6" s="4">
        <f>G7+G8+G12</f>
        <v>722.50557870668445</v>
      </c>
      <c r="H6" s="4" t="s">
        <v>400</v>
      </c>
      <c r="I6" s="4" t="s">
        <v>864</v>
      </c>
    </row>
    <row r="7" spans="2:9" x14ac:dyDescent="0.35">
      <c r="B7" s="108"/>
      <c r="E7" s="4">
        <f t="shared" ref="E7" si="0">SUM(F7:G7)</f>
        <v>15.905573619999998</v>
      </c>
      <c r="F7" s="4">
        <f>lc!E197</f>
        <v>15.905573619999998</v>
      </c>
      <c r="G7" s="4">
        <v>0</v>
      </c>
      <c r="H7" s="81" t="s">
        <v>138</v>
      </c>
    </row>
    <row r="8" spans="2:9" ht="14.5" customHeight="1" x14ac:dyDescent="0.35">
      <c r="B8" s="108"/>
      <c r="E8" s="4">
        <f>SUM(F8:G8)</f>
        <v>5034.7428200899994</v>
      </c>
      <c r="F8" s="4">
        <f>F9+F10+F11</f>
        <v>5034.7428200899994</v>
      </c>
      <c r="G8" s="4">
        <f>SUM(G9:G11)</f>
        <v>0</v>
      </c>
      <c r="H8" s="81" t="s">
        <v>487</v>
      </c>
    </row>
    <row r="9" spans="2:9" x14ac:dyDescent="0.35">
      <c r="B9" s="108"/>
      <c r="E9" s="4">
        <f t="shared" ref="E9:E12" si="1">SUM(F9:G9)</f>
        <v>3477.8240000000001</v>
      </c>
      <c r="F9" s="4">
        <f>lc!E199</f>
        <v>3477.8240000000001</v>
      </c>
      <c r="G9" s="4">
        <v>0</v>
      </c>
      <c r="H9" s="82" t="s">
        <v>287</v>
      </c>
    </row>
    <row r="10" spans="2:9" x14ac:dyDescent="0.35">
      <c r="E10" s="4">
        <f t="shared" si="1"/>
        <v>1556.0309999999999</v>
      </c>
      <c r="F10" s="4">
        <f>lc!E200</f>
        <v>1556.0309999999999</v>
      </c>
      <c r="G10" s="4">
        <v>0</v>
      </c>
      <c r="H10" s="82" t="s">
        <v>288</v>
      </c>
    </row>
    <row r="11" spans="2:9" x14ac:dyDescent="0.35">
      <c r="E11" s="4">
        <f t="shared" si="1"/>
        <v>0.88782009000000006</v>
      </c>
      <c r="F11" s="4">
        <f>lc!E201</f>
        <v>0.88782009000000006</v>
      </c>
      <c r="G11" s="4">
        <v>0</v>
      </c>
      <c r="H11" s="82" t="s">
        <v>489</v>
      </c>
    </row>
    <row r="12" spans="2:9" x14ac:dyDescent="0.35">
      <c r="E12" s="4">
        <f t="shared" si="1"/>
        <v>5204.658134471616</v>
      </c>
      <c r="F12" s="4">
        <f>lc!E99</f>
        <v>4482.152555764932</v>
      </c>
      <c r="G12" s="4">
        <f>lc!E100</f>
        <v>722.50557870668445</v>
      </c>
      <c r="H12" s="81" t="s">
        <v>228</v>
      </c>
    </row>
    <row r="14" spans="2:9" x14ac:dyDescent="0.35">
      <c r="E14" s="4">
        <f t="shared" ref="E14:E20" si="2">SUM(F14:G14)</f>
        <v>9064.5010774326038</v>
      </c>
      <c r="F14" s="4">
        <f>F15+F16+F20</f>
        <v>8656.1795724262047</v>
      </c>
      <c r="G14" s="4">
        <f>G15+G16+G20</f>
        <v>408.3215050064</v>
      </c>
      <c r="H14" s="4" t="s">
        <v>490</v>
      </c>
    </row>
    <row r="15" spans="2:9" x14ac:dyDescent="0.35">
      <c r="E15" s="4">
        <f t="shared" si="2"/>
        <v>3618.5045542156613</v>
      </c>
      <c r="F15" s="4">
        <f>lc!E205</f>
        <v>3618.5045542156613</v>
      </c>
      <c r="G15" s="4">
        <v>0</v>
      </c>
      <c r="H15" s="81" t="s">
        <v>138</v>
      </c>
    </row>
    <row r="16" spans="2:9" x14ac:dyDescent="0.35">
      <c r="E16" s="4">
        <f t="shared" si="2"/>
        <v>2504.6021518192811</v>
      </c>
      <c r="F16" s="4">
        <f>F17+F18+F19</f>
        <v>2504.6021518192811</v>
      </c>
      <c r="G16" s="4">
        <f>SUM(G17:G19)</f>
        <v>0</v>
      </c>
      <c r="H16" s="81" t="s">
        <v>487</v>
      </c>
    </row>
    <row r="17" spans="2:11" x14ac:dyDescent="0.35">
      <c r="E17" s="4">
        <f t="shared" si="2"/>
        <v>1556.0309999999999</v>
      </c>
      <c r="F17" s="4">
        <f>lc!E117</f>
        <v>1556.0309999999999</v>
      </c>
      <c r="G17" s="4">
        <v>0</v>
      </c>
      <c r="H17" s="82" t="s">
        <v>288</v>
      </c>
    </row>
    <row r="18" spans="2:11" x14ac:dyDescent="0.35">
      <c r="E18" s="4">
        <f t="shared" si="2"/>
        <v>82.352999999999994</v>
      </c>
      <c r="F18" s="4">
        <f>lc!E118</f>
        <v>82.352999999999994</v>
      </c>
      <c r="G18" s="4">
        <v>0</v>
      </c>
      <c r="H18" s="82" t="s">
        <v>521</v>
      </c>
    </row>
    <row r="19" spans="2:11" x14ac:dyDescent="0.35">
      <c r="E19" s="4">
        <f t="shared" si="2"/>
        <v>866.21815181928116</v>
      </c>
      <c r="F19" s="4">
        <f>lc!E208</f>
        <v>866.21815181928116</v>
      </c>
      <c r="G19" s="4">
        <v>0</v>
      </c>
      <c r="H19" s="82" t="s">
        <v>489</v>
      </c>
    </row>
    <row r="20" spans="2:11" x14ac:dyDescent="0.35">
      <c r="E20" s="4">
        <f t="shared" si="2"/>
        <v>2941.3943713976632</v>
      </c>
      <c r="F20" s="4">
        <f>lc!E79</f>
        <v>2533.0728663912632</v>
      </c>
      <c r="G20" s="4">
        <f>lc!E80</f>
        <v>408.3215050064</v>
      </c>
      <c r="H20" s="81" t="s">
        <v>228</v>
      </c>
    </row>
    <row r="22" spans="2:11" x14ac:dyDescent="0.35">
      <c r="B22" s="108" t="s">
        <v>590</v>
      </c>
      <c r="E22" s="67" t="s">
        <v>862</v>
      </c>
    </row>
    <row r="23" spans="2:11" x14ac:dyDescent="0.35">
      <c r="B23" s="108"/>
      <c r="E23" s="4" t="s">
        <v>589</v>
      </c>
      <c r="F23" s="4" t="s">
        <v>401</v>
      </c>
      <c r="G23" s="4" t="s">
        <v>402</v>
      </c>
      <c r="I23" s="4" t="s">
        <v>865</v>
      </c>
    </row>
    <row r="24" spans="2:11" x14ac:dyDescent="0.35">
      <c r="B24" s="108"/>
      <c r="E24" s="4">
        <f>SUM(F24:G24)</f>
        <v>18134.380268282468</v>
      </c>
      <c r="F24" s="4">
        <f>F25+F26+F31+F36</f>
        <v>18087.407942200018</v>
      </c>
      <c r="G24" s="4">
        <f>G25+G26+G31+G36</f>
        <v>46.972326082449385</v>
      </c>
      <c r="H24" s="83" t="s">
        <v>510</v>
      </c>
    </row>
    <row r="25" spans="2:11" x14ac:dyDescent="0.35">
      <c r="B25" s="108"/>
      <c r="E25" s="4">
        <f t="shared" ref="E25:E39" si="3">SUM(F25:G25)</f>
        <v>195.15649253628072</v>
      </c>
      <c r="F25" s="4">
        <f>lc!E145</f>
        <v>148.18416645383135</v>
      </c>
      <c r="G25" s="4">
        <f>lc!E146</f>
        <v>46.972326082449385</v>
      </c>
      <c r="H25" s="81" t="s">
        <v>397</v>
      </c>
    </row>
    <row r="26" spans="2:11" x14ac:dyDescent="0.35">
      <c r="B26" s="108"/>
      <c r="E26" s="4">
        <f t="shared" si="3"/>
        <v>0</v>
      </c>
      <c r="F26" s="4">
        <f>lc!E154</f>
        <v>0</v>
      </c>
      <c r="G26" s="4">
        <f>SUM(G27:G30)</f>
        <v>0</v>
      </c>
      <c r="H26" s="81" t="s">
        <v>398</v>
      </c>
      <c r="J26" s="4" t="s">
        <v>909</v>
      </c>
    </row>
    <row r="27" spans="2:11" x14ac:dyDescent="0.35">
      <c r="B27" s="108"/>
      <c r="E27" s="4">
        <f t="shared" si="3"/>
        <v>0</v>
      </c>
      <c r="F27" s="4">
        <v>0</v>
      </c>
      <c r="G27" s="4">
        <v>0</v>
      </c>
      <c r="H27" s="82" t="s">
        <v>591</v>
      </c>
      <c r="J27" s="4">
        <f>'T10'!P11</f>
        <v>6659.6570000000002</v>
      </c>
      <c r="K27" s="83" t="s">
        <v>646</v>
      </c>
    </row>
    <row r="28" spans="2:11" x14ac:dyDescent="0.35">
      <c r="B28" s="108"/>
      <c r="E28" s="4">
        <f t="shared" si="3"/>
        <v>0</v>
      </c>
      <c r="F28" s="4">
        <v>0</v>
      </c>
      <c r="G28" s="4">
        <v>0</v>
      </c>
      <c r="H28" s="82" t="s">
        <v>592</v>
      </c>
      <c r="J28" s="4">
        <f>'T10'!P9</f>
        <v>3890.8989999999999</v>
      </c>
      <c r="K28" s="83" t="s">
        <v>647</v>
      </c>
    </row>
    <row r="29" spans="2:11" x14ac:dyDescent="0.35">
      <c r="B29" s="108"/>
      <c r="E29" s="4">
        <f t="shared" si="3"/>
        <v>0</v>
      </c>
      <c r="F29" s="4">
        <v>0</v>
      </c>
      <c r="G29" s="4">
        <v>0</v>
      </c>
      <c r="H29" s="82" t="s">
        <v>593</v>
      </c>
      <c r="J29" s="4">
        <f>J39/(J39+J40)*(J27+J28)</f>
        <v>7041.5390003667053</v>
      </c>
      <c r="K29" s="4" t="s">
        <v>880</v>
      </c>
    </row>
    <row r="30" spans="2:11" x14ac:dyDescent="0.35">
      <c r="B30" s="108"/>
      <c r="E30" s="4">
        <f t="shared" si="3"/>
        <v>0</v>
      </c>
      <c r="F30" s="4">
        <v>0</v>
      </c>
      <c r="G30" s="4">
        <v>0</v>
      </c>
      <c r="H30" s="82" t="s">
        <v>594</v>
      </c>
      <c r="J30" s="4">
        <f>(J27+J28)-(J29+J31)</f>
        <v>3313.2525468851172</v>
      </c>
      <c r="K30" s="4" t="s">
        <v>879</v>
      </c>
    </row>
    <row r="31" spans="2:11" x14ac:dyDescent="0.35">
      <c r="B31" s="108"/>
      <c r="E31" s="4">
        <f t="shared" si="3"/>
        <v>12205.888638244945</v>
      </c>
      <c r="F31" s="4">
        <f>SUM(F32:F35)</f>
        <v>12205.888638244945</v>
      </c>
      <c r="G31" s="4">
        <f>SUM(G32:G35)</f>
        <v>0</v>
      </c>
      <c r="H31" s="81" t="s">
        <v>595</v>
      </c>
      <c r="J31" s="4">
        <f>(J27+J28-J29)*J42/J40</f>
        <v>195.76445274817763</v>
      </c>
      <c r="K31" s="83" t="s">
        <v>878</v>
      </c>
    </row>
    <row r="32" spans="2:11" x14ac:dyDescent="0.35">
      <c r="B32" s="108"/>
      <c r="E32" s="4">
        <f t="shared" si="3"/>
        <v>629.43399999999997</v>
      </c>
      <c r="F32" s="4">
        <f>'T10'!P7</f>
        <v>629.43399999999997</v>
      </c>
      <c r="G32" s="4">
        <v>0</v>
      </c>
      <c r="H32" s="82" t="s">
        <v>596</v>
      </c>
    </row>
    <row r="33" spans="2:18" x14ac:dyDescent="0.35">
      <c r="B33" s="108"/>
      <c r="E33" s="4">
        <f t="shared" si="3"/>
        <v>11391.519638244947</v>
      </c>
      <c r="F33" s="4">
        <f>J34</f>
        <v>11391.519638244947</v>
      </c>
      <c r="G33" s="4">
        <v>0</v>
      </c>
      <c r="H33" s="82" t="s">
        <v>4</v>
      </c>
      <c r="J33" s="16" t="s">
        <v>910</v>
      </c>
    </row>
    <row r="34" spans="2:18" x14ac:dyDescent="0.35">
      <c r="B34" s="108"/>
      <c r="E34" s="4">
        <f t="shared" si="3"/>
        <v>143.30000000000001</v>
      </c>
      <c r="F34" s="4">
        <f>'T10'!P10</f>
        <v>143.30000000000001</v>
      </c>
      <c r="G34" s="4">
        <v>0</v>
      </c>
      <c r="H34" s="82" t="s">
        <v>597</v>
      </c>
      <c r="J34" s="4">
        <f>J39/(J43+J44)*('T1'!AB7+'T1'!AB12)</f>
        <v>11391.519638244947</v>
      </c>
      <c r="K34" s="4" t="s">
        <v>911</v>
      </c>
    </row>
    <row r="35" spans="2:18" x14ac:dyDescent="0.35">
      <c r="B35" s="108"/>
      <c r="E35" s="4">
        <f t="shared" si="3"/>
        <v>41.634999999999998</v>
      </c>
      <c r="F35" s="4">
        <f>'T10'!P14+'T10'!P15</f>
        <v>41.634999999999998</v>
      </c>
      <c r="G35" s="4">
        <v>0</v>
      </c>
      <c r="H35" s="82" t="s">
        <v>598</v>
      </c>
      <c r="I35" s="103"/>
      <c r="J35" s="4">
        <f>J41/J43*'T1'!AB7</f>
        <v>5430.7964148986393</v>
      </c>
      <c r="K35" s="4" t="s">
        <v>879</v>
      </c>
    </row>
    <row r="36" spans="2:18" x14ac:dyDescent="0.35">
      <c r="B36" s="108"/>
      <c r="E36" s="4">
        <f t="shared" si="3"/>
        <v>5733.3351375012408</v>
      </c>
      <c r="F36" s="4">
        <f>SUM(F37:F39)</f>
        <v>5733.3351375012408</v>
      </c>
      <c r="G36" s="4">
        <f>SUM(G37:G39)</f>
        <v>0</v>
      </c>
      <c r="H36" s="81" t="s">
        <v>599</v>
      </c>
      <c r="J36" s="4">
        <f>J42/J44*'T1'!AB12</f>
        <v>285.33072260260207</v>
      </c>
      <c r="K36" s="4" t="s">
        <v>912</v>
      </c>
    </row>
    <row r="37" spans="2:18" x14ac:dyDescent="0.35">
      <c r="B37" s="108"/>
      <c r="E37" s="4">
        <f t="shared" si="3"/>
        <v>5430.7964148986393</v>
      </c>
      <c r="F37" s="4">
        <f>J35</f>
        <v>5430.7964148986393</v>
      </c>
      <c r="G37" s="4">
        <v>0</v>
      </c>
      <c r="H37" s="82" t="s">
        <v>600</v>
      </c>
    </row>
    <row r="38" spans="2:18" x14ac:dyDescent="0.35">
      <c r="E38" s="4">
        <f t="shared" si="3"/>
        <v>285.33072260260207</v>
      </c>
      <c r="F38" s="4">
        <f>J36</f>
        <v>285.33072260260207</v>
      </c>
      <c r="G38" s="4">
        <v>0</v>
      </c>
      <c r="H38" s="82" t="s">
        <v>601</v>
      </c>
      <c r="J38" s="4" t="s">
        <v>913</v>
      </c>
    </row>
    <row r="39" spans="2:18" x14ac:dyDescent="0.35">
      <c r="E39" s="4">
        <f t="shared" si="3"/>
        <v>17.207999999999998</v>
      </c>
      <c r="F39" s="4">
        <f>'T10'!P13</f>
        <v>17.207999999999998</v>
      </c>
      <c r="G39" s="4">
        <v>0</v>
      </c>
      <c r="H39" s="82" t="s">
        <v>381</v>
      </c>
      <c r="J39" s="4">
        <v>2818.6388059999999</v>
      </c>
      <c r="K39" s="4" t="s">
        <v>873</v>
      </c>
      <c r="O39" s="2" t="s">
        <v>875</v>
      </c>
    </row>
    <row r="40" spans="2:18" x14ac:dyDescent="0.35">
      <c r="H40" s="84"/>
      <c r="J40" s="4">
        <v>1404.6150259999999</v>
      </c>
      <c r="K40" s="4" t="s">
        <v>874</v>
      </c>
      <c r="O40" s="2" t="s">
        <v>875</v>
      </c>
    </row>
    <row r="41" spans="2:18" x14ac:dyDescent="0.35">
      <c r="E41" s="4">
        <f>SUM(F41:G41)</f>
        <v>12459.662851600428</v>
      </c>
      <c r="F41" s="4">
        <f>F42+F48+F53+F56</f>
        <v>10997.357934853217</v>
      </c>
      <c r="G41" s="4">
        <f>G42+G48+G53+G56</f>
        <v>1462.3049167472116</v>
      </c>
      <c r="H41" s="83" t="s">
        <v>602</v>
      </c>
      <c r="J41" s="4">
        <v>1326.2529970000001</v>
      </c>
      <c r="K41" s="4" t="s">
        <v>876</v>
      </c>
      <c r="O41" s="2" t="s">
        <v>875</v>
      </c>
    </row>
    <row r="42" spans="2:18" x14ac:dyDescent="0.35">
      <c r="E42" s="4">
        <f>SUM(F42:G42)</f>
        <v>6154.9464764662152</v>
      </c>
      <c r="F42" s="4">
        <f>SUM(F43:F44)</f>
        <v>4692.6415597190035</v>
      </c>
      <c r="G42" s="4">
        <f>SUM(G43:G44)</f>
        <v>1462.3049167472116</v>
      </c>
      <c r="H42" s="81" t="s">
        <v>397</v>
      </c>
      <c r="J42" s="4">
        <v>78.362029000000007</v>
      </c>
      <c r="K42" s="4" t="s">
        <v>877</v>
      </c>
      <c r="O42" s="2" t="s">
        <v>875</v>
      </c>
      <c r="P42" s="4"/>
      <c r="Q42" s="4"/>
      <c r="R42" s="4"/>
    </row>
    <row r="43" spans="2:18" x14ac:dyDescent="0.35">
      <c r="E43" s="4">
        <f>SUM(F43:G43)</f>
        <v>661.33</v>
      </c>
      <c r="F43" s="4">
        <v>0</v>
      </c>
      <c r="G43" s="4">
        <f>lc!E149</f>
        <v>661.33</v>
      </c>
      <c r="H43" s="82" t="s">
        <v>603</v>
      </c>
      <c r="J43" s="4">
        <v>13439.2</v>
      </c>
      <c r="K43" s="4" t="s">
        <v>907</v>
      </c>
      <c r="P43" s="4"/>
      <c r="Q43" s="4"/>
      <c r="R43" s="4"/>
    </row>
    <row r="44" spans="2:18" x14ac:dyDescent="0.35">
      <c r="E44" s="4">
        <f>SUM(F44:G44)</f>
        <v>5493.6164764662153</v>
      </c>
      <c r="F44" s="4">
        <f>lc!E151</f>
        <v>4692.6415597190035</v>
      </c>
      <c r="G44" s="4">
        <f>lc!E152</f>
        <v>800.97491674721152</v>
      </c>
      <c r="H44" s="82" t="s">
        <v>474</v>
      </c>
      <c r="J44" s="4">
        <v>1790.9</v>
      </c>
      <c r="K44" s="4" t="s">
        <v>908</v>
      </c>
      <c r="P44" s="4"/>
      <c r="Q44" s="4"/>
      <c r="R44" s="4"/>
    </row>
    <row r="45" spans="2:18" x14ac:dyDescent="0.35">
      <c r="E45" s="4">
        <f>'T5'!O20</f>
        <v>45.177999999999997</v>
      </c>
      <c r="F45" s="4">
        <f>E45*(F44/E44)</f>
        <v>38.591001263589739</v>
      </c>
      <c r="G45" s="4">
        <f>E45-F45</f>
        <v>6.5869987364102585</v>
      </c>
      <c r="H45" s="85" t="s">
        <v>426</v>
      </c>
      <c r="O45" s="4"/>
      <c r="P45" s="4"/>
      <c r="Q45" s="4"/>
      <c r="R45" s="4"/>
    </row>
    <row r="46" spans="2:18" x14ac:dyDescent="0.35">
      <c r="E46" s="4">
        <f>'T5'!O21</f>
        <v>108.529</v>
      </c>
      <c r="F46" s="4">
        <f>E46*(F44/E44)</f>
        <v>92.705360488205116</v>
      </c>
      <c r="G46" s="4">
        <f>E46-F46</f>
        <v>15.82363951179488</v>
      </c>
      <c r="H46" s="85" t="s">
        <v>129</v>
      </c>
      <c r="O46" s="4"/>
      <c r="P46" s="4"/>
      <c r="Q46" s="4"/>
      <c r="R46" s="4"/>
    </row>
    <row r="47" spans="2:18" x14ac:dyDescent="0.35">
      <c r="E47" s="4">
        <f>SUM(F47:G47)</f>
        <v>5339.909476466215</v>
      </c>
      <c r="F47" s="4">
        <f>F44-F45-F46</f>
        <v>4561.3451979672091</v>
      </c>
      <c r="G47" s="4">
        <f>G44-G45-G46</f>
        <v>778.56427849900638</v>
      </c>
      <c r="H47" s="85" t="s">
        <v>474</v>
      </c>
      <c r="O47" s="4"/>
      <c r="P47" s="4"/>
      <c r="Q47" s="4"/>
      <c r="R47" s="4"/>
    </row>
    <row r="48" spans="2:18" x14ac:dyDescent="0.35">
      <c r="E48" s="4">
        <f>SUM(F48:G48)</f>
        <v>3026.5970309975069</v>
      </c>
      <c r="F48" s="4">
        <f>SUM(F49:F52)</f>
        <v>3026.5970309975069</v>
      </c>
      <c r="G48" s="4">
        <v>0</v>
      </c>
      <c r="H48" s="81" t="s">
        <v>398</v>
      </c>
      <c r="J48" s="54"/>
      <c r="O48" s="4"/>
      <c r="P48" s="4"/>
      <c r="Q48" s="4"/>
      <c r="R48" s="4"/>
    </row>
    <row r="49" spans="2:18" x14ac:dyDescent="0.35">
      <c r="E49" s="4">
        <f t="shared" ref="E49:E57" si="4">SUM(F49:G49)</f>
        <v>0</v>
      </c>
      <c r="F49" s="4">
        <f>lc!E219</f>
        <v>0</v>
      </c>
      <c r="G49" s="4">
        <v>0</v>
      </c>
      <c r="H49" s="82" t="s">
        <v>591</v>
      </c>
      <c r="J49" s="54"/>
      <c r="O49" s="4"/>
      <c r="P49" s="4"/>
      <c r="Q49" s="4"/>
      <c r="R49" s="4"/>
    </row>
    <row r="50" spans="2:18" x14ac:dyDescent="0.35">
      <c r="E50" s="4">
        <f t="shared" si="4"/>
        <v>0</v>
      </c>
      <c r="F50" s="4">
        <f>lc!E220</f>
        <v>0</v>
      </c>
      <c r="G50" s="4">
        <v>0</v>
      </c>
      <c r="H50" s="82" t="s">
        <v>592</v>
      </c>
      <c r="J50" s="54"/>
      <c r="O50" s="4"/>
      <c r="P50" s="4"/>
      <c r="Q50" s="4"/>
      <c r="R50" s="4"/>
    </row>
    <row r="51" spans="2:18" x14ac:dyDescent="0.35">
      <c r="E51" s="4">
        <f t="shared" si="4"/>
        <v>202.89969908200354</v>
      </c>
      <c r="F51" s="4">
        <f>lc!E221</f>
        <v>202.89969908200354</v>
      </c>
      <c r="G51" s="4">
        <v>0</v>
      </c>
      <c r="H51" s="82" t="s">
        <v>593</v>
      </c>
      <c r="O51" s="4"/>
      <c r="P51" s="4"/>
      <c r="Q51" s="4"/>
      <c r="R51" s="4"/>
    </row>
    <row r="52" spans="2:18" x14ac:dyDescent="0.35">
      <c r="E52" s="4">
        <f t="shared" si="4"/>
        <v>2823.6973319155031</v>
      </c>
      <c r="F52" s="4">
        <f>lc!E222</f>
        <v>2823.6973319155031</v>
      </c>
      <c r="G52" s="4">
        <v>0</v>
      </c>
      <c r="H52" s="82" t="s">
        <v>594</v>
      </c>
      <c r="O52" s="4"/>
      <c r="P52" s="4"/>
      <c r="Q52" s="4"/>
      <c r="R52" s="4"/>
    </row>
    <row r="53" spans="2:18" x14ac:dyDescent="0.35">
      <c r="E53" s="4">
        <f t="shared" si="4"/>
        <v>3040.1193441367068</v>
      </c>
      <c r="F53" s="4">
        <f>SUM(F54:F55)</f>
        <v>3040.1193441367068</v>
      </c>
      <c r="G53" s="4">
        <f>SUM(G54:G55)</f>
        <v>0</v>
      </c>
      <c r="H53" s="81" t="s">
        <v>595</v>
      </c>
      <c r="O53" s="4"/>
      <c r="P53" s="4"/>
      <c r="Q53" s="4"/>
      <c r="R53" s="4"/>
    </row>
    <row r="54" spans="2:18" x14ac:dyDescent="0.35">
      <c r="E54" s="4">
        <f t="shared" si="4"/>
        <v>2862.645460732233</v>
      </c>
      <c r="F54" s="4">
        <f>'T5'!P24</f>
        <v>2862.645460732233</v>
      </c>
      <c r="G54" s="4">
        <v>0</v>
      </c>
      <c r="H54" s="82" t="s">
        <v>132</v>
      </c>
    </row>
    <row r="55" spans="2:18" x14ac:dyDescent="0.35">
      <c r="E55" s="4">
        <f t="shared" si="4"/>
        <v>177.47388340447401</v>
      </c>
      <c r="F55" s="4">
        <f>'T5'!P25</f>
        <v>177.47388340447401</v>
      </c>
      <c r="G55" s="4">
        <v>0</v>
      </c>
      <c r="H55" s="82" t="s">
        <v>133</v>
      </c>
    </row>
    <row r="56" spans="2:18" x14ac:dyDescent="0.35">
      <c r="E56" s="4">
        <f t="shared" si="4"/>
        <v>238</v>
      </c>
      <c r="F56" s="4">
        <f>F57</f>
        <v>238</v>
      </c>
      <c r="G56" s="4">
        <f>G57</f>
        <v>0</v>
      </c>
      <c r="H56" s="81" t="s">
        <v>599</v>
      </c>
    </row>
    <row r="57" spans="2:18" x14ac:dyDescent="0.35">
      <c r="E57" s="4">
        <f t="shared" si="4"/>
        <v>238</v>
      </c>
      <c r="F57" s="4">
        <f>'T15'!O6</f>
        <v>238</v>
      </c>
      <c r="G57" s="4">
        <v>0</v>
      </c>
      <c r="H57" s="82" t="s">
        <v>381</v>
      </c>
    </row>
    <row r="59" spans="2:18" x14ac:dyDescent="0.35">
      <c r="E59" s="4">
        <f>'T5'!P8</f>
        <v>7514.7771046404887</v>
      </c>
      <c r="H59" s="83" t="s">
        <v>612</v>
      </c>
    </row>
    <row r="61" spans="2:18" x14ac:dyDescent="0.35">
      <c r="B61" s="108" t="s">
        <v>645</v>
      </c>
      <c r="E61" s="86" t="s">
        <v>665</v>
      </c>
    </row>
    <row r="62" spans="2:18" x14ac:dyDescent="0.35">
      <c r="B62" s="108"/>
      <c r="E62" s="4" t="s">
        <v>589</v>
      </c>
      <c r="F62" s="4" t="s">
        <v>401</v>
      </c>
      <c r="G62" s="4" t="s">
        <v>402</v>
      </c>
    </row>
    <row r="63" spans="2:18" x14ac:dyDescent="0.35">
      <c r="E63" s="4">
        <f>SUM(F63:G63)</f>
        <v>5517.7290000000003</v>
      </c>
      <c r="F63" s="4">
        <f>'T8'!AB8</f>
        <v>5517.7290000000003</v>
      </c>
      <c r="G63" s="4">
        <v>0</v>
      </c>
      <c r="H63" s="4" t="s">
        <v>400</v>
      </c>
    </row>
    <row r="64" spans="2:18" x14ac:dyDescent="0.35">
      <c r="E64" s="4">
        <f>SUM(F64:G64)</f>
        <v>0</v>
      </c>
      <c r="F64" s="4">
        <v>0</v>
      </c>
      <c r="G64" s="4">
        <v>0</v>
      </c>
      <c r="H64" s="4" t="s">
        <v>490</v>
      </c>
    </row>
    <row r="66" spans="4:8" x14ac:dyDescent="0.35">
      <c r="E66" s="86" t="s">
        <v>664</v>
      </c>
    </row>
    <row r="67" spans="4:8" x14ac:dyDescent="0.35">
      <c r="E67" s="4" t="s">
        <v>589</v>
      </c>
      <c r="F67" s="4" t="s">
        <v>401</v>
      </c>
      <c r="G67" s="4" t="s">
        <v>402</v>
      </c>
    </row>
    <row r="68" spans="4:8" x14ac:dyDescent="0.35">
      <c r="E68" s="4">
        <f>E80+E92</f>
        <v>3981.9395592428464</v>
      </c>
      <c r="F68" s="4">
        <f t="shared" ref="F68:F77" si="5">F80+F92</f>
        <v>3981.9395592428464</v>
      </c>
      <c r="G68" s="4">
        <v>0</v>
      </c>
      <c r="H68" s="4" t="s">
        <v>666</v>
      </c>
    </row>
    <row r="69" spans="4:8" x14ac:dyDescent="0.35">
      <c r="E69" s="4">
        <f t="shared" ref="E69" si="6">E81+E93</f>
        <v>2200.904</v>
      </c>
      <c r="F69" s="4">
        <f t="shared" si="5"/>
        <v>2200.904</v>
      </c>
      <c r="G69" s="4">
        <v>0</v>
      </c>
      <c r="H69" s="81" t="s">
        <v>20</v>
      </c>
    </row>
    <row r="70" spans="4:8" x14ac:dyDescent="0.35">
      <c r="E70" s="4">
        <f t="shared" ref="E70" si="7">E82+E94</f>
        <v>165.19399999999999</v>
      </c>
      <c r="F70" s="4">
        <f t="shared" si="5"/>
        <v>165.19399999999999</v>
      </c>
      <c r="G70" s="4">
        <v>0</v>
      </c>
      <c r="H70" s="82" t="s">
        <v>304</v>
      </c>
    </row>
    <row r="71" spans="4:8" x14ac:dyDescent="0.35">
      <c r="E71" s="4">
        <f t="shared" ref="E71" si="8">E83+E95</f>
        <v>224.17400000000001</v>
      </c>
      <c r="F71" s="4">
        <f t="shared" si="5"/>
        <v>224.17400000000001</v>
      </c>
      <c r="G71" s="4">
        <v>0</v>
      </c>
      <c r="H71" s="82" t="s">
        <v>305</v>
      </c>
    </row>
    <row r="72" spans="4:8" x14ac:dyDescent="0.35">
      <c r="E72" s="4">
        <f t="shared" ref="E72" si="9">E84+E96</f>
        <v>934.726</v>
      </c>
      <c r="F72" s="4">
        <f t="shared" si="5"/>
        <v>934.726</v>
      </c>
      <c r="G72" s="4">
        <v>0</v>
      </c>
      <c r="H72" s="82" t="s">
        <v>306</v>
      </c>
    </row>
    <row r="73" spans="4:8" x14ac:dyDescent="0.35">
      <c r="E73" s="4">
        <f t="shared" ref="E73" si="10">E85+E97</f>
        <v>876.81</v>
      </c>
      <c r="F73" s="4">
        <f t="shared" si="5"/>
        <v>876.81</v>
      </c>
      <c r="G73" s="4">
        <v>0</v>
      </c>
      <c r="H73" s="82" t="s">
        <v>667</v>
      </c>
    </row>
    <row r="74" spans="4:8" x14ac:dyDescent="0.35">
      <c r="E74" s="4">
        <f t="shared" ref="E74" si="11">E86+E98</f>
        <v>153.19800000000001</v>
      </c>
      <c r="F74" s="4">
        <f t="shared" si="5"/>
        <v>153.19800000000001</v>
      </c>
      <c r="G74" s="4">
        <v>0</v>
      </c>
      <c r="H74" s="81" t="s">
        <v>21</v>
      </c>
    </row>
    <row r="75" spans="4:8" x14ac:dyDescent="0.35">
      <c r="E75" s="4">
        <f t="shared" ref="E75" si="12">E87+E99</f>
        <v>1079.2329999999999</v>
      </c>
      <c r="F75" s="4">
        <f t="shared" si="5"/>
        <v>1079.2329999999999</v>
      </c>
      <c r="G75" s="4">
        <v>0</v>
      </c>
      <c r="H75" s="81" t="s">
        <v>316</v>
      </c>
    </row>
    <row r="76" spans="4:8" x14ac:dyDescent="0.35">
      <c r="E76" s="4">
        <f t="shared" ref="E76" si="13">E88+E100</f>
        <v>196.81000000000003</v>
      </c>
      <c r="F76" s="4">
        <f t="shared" si="5"/>
        <v>196.81000000000003</v>
      </c>
      <c r="G76" s="4">
        <v>0</v>
      </c>
      <c r="H76" s="81" t="s">
        <v>668</v>
      </c>
    </row>
    <row r="77" spans="4:8" x14ac:dyDescent="0.35">
      <c r="E77" s="4">
        <f t="shared" ref="E77" si="14">E89+E101</f>
        <v>201.245</v>
      </c>
      <c r="F77" s="4">
        <f t="shared" si="5"/>
        <v>201.245</v>
      </c>
      <c r="G77" s="4">
        <v>0</v>
      </c>
      <c r="H77" s="81" t="s">
        <v>669</v>
      </c>
    </row>
    <row r="78" spans="4:8" x14ac:dyDescent="0.35">
      <c r="D78" s="102"/>
      <c r="E78" s="4">
        <f t="shared" ref="E78" si="15">E90+E102</f>
        <v>150.54955924284667</v>
      </c>
      <c r="F78" s="4">
        <f>'T8'!AB42</f>
        <v>269.64100000000002</v>
      </c>
      <c r="G78" s="4">
        <v>0</v>
      </c>
      <c r="H78" s="81" t="s">
        <v>670</v>
      </c>
    </row>
    <row r="79" spans="4:8" x14ac:dyDescent="0.35">
      <c r="D79" s="102"/>
      <c r="H79" s="81"/>
    </row>
    <row r="80" spans="4:8" x14ac:dyDescent="0.35">
      <c r="E80" s="4">
        <f>SUM(F80:G80)</f>
        <v>3149.7398699530554</v>
      </c>
      <c r="F80" s="4">
        <f>F81+F86+F87+F88+F89+F90</f>
        <v>3149.7398699530554</v>
      </c>
      <c r="G80" s="4">
        <v>0</v>
      </c>
      <c r="H80" s="4" t="s">
        <v>400</v>
      </c>
    </row>
    <row r="81" spans="5:9" x14ac:dyDescent="0.35">
      <c r="E81" s="4">
        <f t="shared" ref="E81:E90" si="16">SUM(F81:G81)</f>
        <v>1884.3035365329442</v>
      </c>
      <c r="F81" s="4">
        <f>SUM(F82:F85)</f>
        <v>1884.3035365329442</v>
      </c>
      <c r="G81" s="4">
        <v>0</v>
      </c>
      <c r="H81" s="81" t="s">
        <v>20</v>
      </c>
    </row>
    <row r="82" spans="5:9" x14ac:dyDescent="0.35">
      <c r="E82" s="4">
        <f t="shared" si="16"/>
        <v>165.19399999999999</v>
      </c>
      <c r="F82" s="4">
        <f>'T8'!AB21</f>
        <v>165.19399999999999</v>
      </c>
      <c r="G82" s="4">
        <v>0</v>
      </c>
      <c r="H82" s="82" t="s">
        <v>304</v>
      </c>
    </row>
    <row r="83" spans="5:9" x14ac:dyDescent="0.35">
      <c r="E83" s="4">
        <f t="shared" si="16"/>
        <v>224.17400000000001</v>
      </c>
      <c r="F83" s="4">
        <f>'T8'!AB22</f>
        <v>224.17400000000001</v>
      </c>
      <c r="G83" s="4">
        <v>0</v>
      </c>
      <c r="H83" s="82" t="s">
        <v>305</v>
      </c>
    </row>
    <row r="84" spans="5:9" x14ac:dyDescent="0.35">
      <c r="E84" s="4">
        <f t="shared" si="16"/>
        <v>934.726</v>
      </c>
      <c r="F84" s="4">
        <f>'T8'!AB23</f>
        <v>934.726</v>
      </c>
      <c r="G84" s="4">
        <v>0</v>
      </c>
      <c r="H84" s="82" t="s">
        <v>306</v>
      </c>
    </row>
    <row r="85" spans="5:9" x14ac:dyDescent="0.35">
      <c r="E85" s="4">
        <f t="shared" si="16"/>
        <v>560.20953653294418</v>
      </c>
      <c r="F85" s="4">
        <f>'T8'!AB24-F97</f>
        <v>560.20953653294418</v>
      </c>
      <c r="G85" s="4">
        <v>0</v>
      </c>
      <c r="H85" s="82" t="s">
        <v>667</v>
      </c>
    </row>
    <row r="86" spans="5:9" x14ac:dyDescent="0.35">
      <c r="E86" s="4">
        <f t="shared" si="16"/>
        <v>3.5760000000000001</v>
      </c>
      <c r="F86" s="4">
        <f>'T8'!AB29</f>
        <v>3.5760000000000001</v>
      </c>
      <c r="G86" s="4">
        <v>0</v>
      </c>
      <c r="H86" s="81" t="s">
        <v>21</v>
      </c>
      <c r="I86" s="34"/>
    </row>
    <row r="87" spans="5:9" x14ac:dyDescent="0.35">
      <c r="E87" s="4">
        <f t="shared" si="16"/>
        <v>1079.2329999999999</v>
      </c>
      <c r="F87" s="4">
        <f>'T8'!AB34</f>
        <v>1079.2329999999999</v>
      </c>
      <c r="G87" s="4">
        <v>0</v>
      </c>
      <c r="H87" s="81" t="s">
        <v>316</v>
      </c>
      <c r="I87" s="34"/>
    </row>
    <row r="88" spans="5:9" x14ac:dyDescent="0.35">
      <c r="E88" s="4">
        <f t="shared" si="16"/>
        <v>0.86131609643526386</v>
      </c>
      <c r="F88" s="4">
        <f>F7/(F7+F15)*'T8'!AB39</f>
        <v>0.86131609643526386</v>
      </c>
      <c r="G88" s="4">
        <v>0</v>
      </c>
      <c r="H88" s="81" t="s">
        <v>668</v>
      </c>
    </row>
    <row r="89" spans="5:9" x14ac:dyDescent="0.35">
      <c r="E89" s="4">
        <f t="shared" si="16"/>
        <v>128.579017323676</v>
      </c>
      <c r="F89" s="4">
        <f>'T8'!AB40-F101</f>
        <v>128.579017323676</v>
      </c>
      <c r="G89" s="4">
        <v>0</v>
      </c>
      <c r="H89" s="81" t="s">
        <v>669</v>
      </c>
    </row>
    <row r="90" spans="5:9" x14ac:dyDescent="0.35">
      <c r="E90" s="4">
        <f t="shared" si="16"/>
        <v>53.186999999999998</v>
      </c>
      <c r="F90" s="4">
        <f>'T8'!AB43</f>
        <v>53.186999999999998</v>
      </c>
      <c r="G90" s="4">
        <v>0</v>
      </c>
      <c r="H90" s="81" t="s">
        <v>670</v>
      </c>
    </row>
    <row r="91" spans="5:9" x14ac:dyDescent="0.35">
      <c r="H91" s="81"/>
    </row>
    <row r="92" spans="5:9" x14ac:dyDescent="0.35">
      <c r="E92" s="4">
        <f t="shared" ref="E92:E102" si="17">SUM(F92:G92)</f>
        <v>832.19968928979119</v>
      </c>
      <c r="F92" s="4">
        <f>F93+F98+F99+F100+F101+F102</f>
        <v>832.19968928979119</v>
      </c>
      <c r="G92" s="4">
        <v>0</v>
      </c>
      <c r="H92" s="4" t="s">
        <v>490</v>
      </c>
    </row>
    <row r="93" spans="5:9" x14ac:dyDescent="0.35">
      <c r="E93" s="4">
        <f t="shared" si="17"/>
        <v>316.60046346705576</v>
      </c>
      <c r="F93" s="4">
        <f>SUM(F94:F97)</f>
        <v>316.60046346705576</v>
      </c>
      <c r="G93" s="4">
        <v>0</v>
      </c>
      <c r="H93" s="81" t="s">
        <v>20</v>
      </c>
    </row>
    <row r="94" spans="5:9" x14ac:dyDescent="0.35">
      <c r="E94" s="4">
        <f t="shared" si="17"/>
        <v>0</v>
      </c>
      <c r="F94" s="4">
        <v>0</v>
      </c>
      <c r="G94" s="4">
        <v>0</v>
      </c>
      <c r="H94" s="82" t="s">
        <v>304</v>
      </c>
    </row>
    <row r="95" spans="5:9" x14ac:dyDescent="0.35">
      <c r="E95" s="4">
        <f t="shared" si="17"/>
        <v>0</v>
      </c>
      <c r="F95" s="4">
        <v>0</v>
      </c>
      <c r="G95" s="4">
        <v>0</v>
      </c>
      <c r="H95" s="82" t="s">
        <v>305</v>
      </c>
    </row>
    <row r="96" spans="5:9" x14ac:dyDescent="0.35">
      <c r="E96" s="4">
        <f t="shared" si="17"/>
        <v>0</v>
      </c>
      <c r="F96" s="4">
        <v>0</v>
      </c>
      <c r="G96" s="4">
        <v>0</v>
      </c>
      <c r="H96" s="82" t="s">
        <v>306</v>
      </c>
    </row>
    <row r="97" spans="2:8" x14ac:dyDescent="0.35">
      <c r="E97" s="4">
        <f t="shared" si="17"/>
        <v>316.60046346705576</v>
      </c>
      <c r="F97" s="4">
        <f>F20/(F20+F12)*'T8'!AB24</f>
        <v>316.60046346705576</v>
      </c>
      <c r="G97" s="4">
        <v>0</v>
      </c>
      <c r="H97" s="82" t="s">
        <v>667</v>
      </c>
    </row>
    <row r="98" spans="2:8" x14ac:dyDescent="0.35">
      <c r="E98" s="4">
        <f t="shared" si="17"/>
        <v>149.62200000000001</v>
      </c>
      <c r="F98" s="4">
        <f>'T8'!AB28</f>
        <v>149.62200000000001</v>
      </c>
      <c r="G98" s="4">
        <v>0</v>
      </c>
      <c r="H98" s="81" t="s">
        <v>21</v>
      </c>
    </row>
    <row r="99" spans="2:8" x14ac:dyDescent="0.35">
      <c r="E99" s="4">
        <f t="shared" si="17"/>
        <v>0</v>
      </c>
      <c r="F99" s="4">
        <v>0</v>
      </c>
      <c r="G99" s="4">
        <v>0</v>
      </c>
      <c r="H99" s="81" t="s">
        <v>316</v>
      </c>
    </row>
    <row r="100" spans="2:8" x14ac:dyDescent="0.35">
      <c r="E100" s="4">
        <f t="shared" si="17"/>
        <v>195.94868390356476</v>
      </c>
      <c r="F100" s="4">
        <f>F15/(F7+F15)*'T8'!AB39</f>
        <v>195.94868390356476</v>
      </c>
      <c r="G100" s="4">
        <v>0</v>
      </c>
      <c r="H100" s="81" t="s">
        <v>668</v>
      </c>
    </row>
    <row r="101" spans="2:8" x14ac:dyDescent="0.35">
      <c r="E101" s="4">
        <f t="shared" si="17"/>
        <v>72.665982676323992</v>
      </c>
      <c r="F101" s="4">
        <f>F20/(F20+F12)*'T8'!AB40</f>
        <v>72.665982676323992</v>
      </c>
      <c r="G101" s="4">
        <v>0</v>
      </c>
      <c r="H101" s="81" t="s">
        <v>669</v>
      </c>
    </row>
    <row r="102" spans="2:8" x14ac:dyDescent="0.35">
      <c r="E102" s="4">
        <f t="shared" si="17"/>
        <v>97.362559242846672</v>
      </c>
      <c r="F102" s="4">
        <f>F20/(F20+F12)*'T8'!AB42</f>
        <v>97.362559242846672</v>
      </c>
      <c r="G102" s="4">
        <v>0</v>
      </c>
      <c r="H102" s="81" t="s">
        <v>670</v>
      </c>
    </row>
    <row r="104" spans="2:8" x14ac:dyDescent="0.35">
      <c r="H104" s="81" t="s">
        <v>671</v>
      </c>
    </row>
    <row r="106" spans="2:8" x14ac:dyDescent="0.35">
      <c r="B106" s="108" t="s">
        <v>672</v>
      </c>
      <c r="E106" s="86" t="s">
        <v>673</v>
      </c>
    </row>
    <row r="107" spans="2:8" x14ac:dyDescent="0.35">
      <c r="B107" s="108"/>
      <c r="E107" s="4" t="s">
        <v>589</v>
      </c>
      <c r="F107" s="4" t="s">
        <v>401</v>
      </c>
      <c r="G107" s="4" t="s">
        <v>402</v>
      </c>
    </row>
    <row r="108" spans="2:8" x14ac:dyDescent="0.35">
      <c r="B108" s="108"/>
      <c r="H108" s="4" t="s">
        <v>674</v>
      </c>
    </row>
    <row r="109" spans="2:8" x14ac:dyDescent="0.35">
      <c r="B109" s="108"/>
      <c r="E109" s="4">
        <f>SUM(F109:G109)</f>
        <v>233.99953369883011</v>
      </c>
      <c r="F109" s="4">
        <f>'T5'!P45</f>
        <v>233.99953369883011</v>
      </c>
      <c r="G109" s="4">
        <v>0</v>
      </c>
      <c r="H109" s="81" t="s">
        <v>675</v>
      </c>
    </row>
    <row r="110" spans="2:8" x14ac:dyDescent="0.35">
      <c r="B110" s="108"/>
      <c r="E110" s="4">
        <f>SUM(F110:G110)</f>
        <v>536.04855998439143</v>
      </c>
      <c r="F110" s="4">
        <f>'T4'!P15</f>
        <v>536.04855998439143</v>
      </c>
      <c r="G110" s="4">
        <v>0</v>
      </c>
      <c r="H110" s="81" t="s">
        <v>676</v>
      </c>
    </row>
    <row r="111" spans="2:8" x14ac:dyDescent="0.35">
      <c r="B111" s="108"/>
    </row>
    <row r="112" spans="2:8" x14ac:dyDescent="0.35">
      <c r="B112" s="108"/>
      <c r="H112" s="4" t="s">
        <v>677</v>
      </c>
    </row>
    <row r="113" spans="5:9" x14ac:dyDescent="0.35">
      <c r="E113" s="4">
        <f>SUM(F113:G113)</f>
        <v>1535.166655</v>
      </c>
      <c r="F113" s="4">
        <f>'T14'!O7+'T14'!O8</f>
        <v>1535.166655</v>
      </c>
      <c r="G113" s="4">
        <v>0</v>
      </c>
      <c r="H113" s="4" t="s">
        <v>678</v>
      </c>
    </row>
    <row r="114" spans="5:9" x14ac:dyDescent="0.35">
      <c r="E114" s="4">
        <f>SUM(F114:G114)</f>
        <v>1763.2057480000001</v>
      </c>
      <c r="F114" s="4">
        <f>'T14'!O12+'T14'!O13</f>
        <v>1763.2057480000001</v>
      </c>
      <c r="G114" s="4">
        <v>0</v>
      </c>
      <c r="H114" s="4" t="s">
        <v>679</v>
      </c>
    </row>
    <row r="116" spans="5:9" x14ac:dyDescent="0.35">
      <c r="E116" s="86" t="s">
        <v>680</v>
      </c>
      <c r="I116" s="4" t="s">
        <v>866</v>
      </c>
    </row>
    <row r="118" spans="5:9" ht="14.5" customHeight="1" x14ac:dyDescent="0.35">
      <c r="E118" s="4" t="s">
        <v>589</v>
      </c>
      <c r="F118" s="4" t="s">
        <v>401</v>
      </c>
      <c r="G118" s="4" t="s">
        <v>402</v>
      </c>
    </row>
    <row r="119" spans="5:9" x14ac:dyDescent="0.35">
      <c r="E119" s="4">
        <f>'T16'!P7</f>
        <v>3102257</v>
      </c>
      <c r="F119" s="4" t="s">
        <v>466</v>
      </c>
      <c r="G119" s="4" t="s">
        <v>466</v>
      </c>
      <c r="H119" s="4" t="s">
        <v>681</v>
      </c>
    </row>
    <row r="120" spans="5:9" x14ac:dyDescent="0.35">
      <c r="E120" s="4">
        <f>E25+E26+E31</f>
        <v>12401.045130781225</v>
      </c>
      <c r="F120" s="4" t="s">
        <v>466</v>
      </c>
      <c r="G120" s="4" t="s">
        <v>466</v>
      </c>
      <c r="H120" s="4" t="s">
        <v>682</v>
      </c>
    </row>
    <row r="122" spans="5:9" x14ac:dyDescent="0.35">
      <c r="E122" s="4">
        <f>'T16'!P18</f>
        <v>114801</v>
      </c>
      <c r="F122" s="4" t="s">
        <v>466</v>
      </c>
      <c r="G122" s="4" t="s">
        <v>466</v>
      </c>
      <c r="H122" s="4" t="s">
        <v>683</v>
      </c>
    </row>
    <row r="123" spans="5:9" x14ac:dyDescent="0.35">
      <c r="E123" s="4">
        <f>'T16'!P38</f>
        <v>725688</v>
      </c>
      <c r="F123" s="4" t="s">
        <v>466</v>
      </c>
      <c r="G123" s="4" t="s">
        <v>466</v>
      </c>
      <c r="H123" s="4" t="s">
        <v>684</v>
      </c>
    </row>
    <row r="124" spans="5:9" x14ac:dyDescent="0.35">
      <c r="E124" s="4">
        <f>'T16'!P42</f>
        <v>-1062206</v>
      </c>
      <c r="F124" s="4" t="s">
        <v>466</v>
      </c>
      <c r="G124" s="4" t="s">
        <v>466</v>
      </c>
      <c r="H124" s="4" t="s">
        <v>685</v>
      </c>
    </row>
    <row r="125" spans="5:9" x14ac:dyDescent="0.35">
      <c r="E125" s="4">
        <f>'T16'!P27</f>
        <v>5681</v>
      </c>
      <c r="F125" s="4" t="s">
        <v>466</v>
      </c>
      <c r="G125" s="4" t="s">
        <v>466</v>
      </c>
      <c r="H125" s="4" t="s">
        <v>686</v>
      </c>
    </row>
    <row r="126" spans="5:9" x14ac:dyDescent="0.35">
      <c r="E126" s="4">
        <f>'T16'!P37</f>
        <v>88749</v>
      </c>
      <c r="F126" s="4" t="s">
        <v>466</v>
      </c>
      <c r="G126" s="4" t="s">
        <v>466</v>
      </c>
      <c r="H126" s="4" t="s">
        <v>687</v>
      </c>
    </row>
    <row r="129" spans="2:14" x14ac:dyDescent="0.35">
      <c r="E129" s="4">
        <f>SUM(F129:G129)</f>
        <v>-2441.9760377065959</v>
      </c>
      <c r="F129" s="4">
        <f>F130-F131</f>
        <v>-2441.9760377065959</v>
      </c>
      <c r="G129" s="4">
        <v>0</v>
      </c>
      <c r="H129" s="4" t="s">
        <v>688</v>
      </c>
    </row>
    <row r="130" spans="2:14" x14ac:dyDescent="0.35">
      <c r="E130" s="4">
        <f t="shared" ref="E130:E135" si="18">SUM(F130:G130)</f>
        <v>458.9085888302663</v>
      </c>
      <c r="F130" s="4">
        <f>E122*($E$120/$E$119)</f>
        <v>458.9085888302663</v>
      </c>
      <c r="G130" s="4">
        <v>0</v>
      </c>
      <c r="H130" s="81" t="s">
        <v>675</v>
      </c>
    </row>
    <row r="131" spans="2:14" x14ac:dyDescent="0.35">
      <c r="E131" s="4">
        <f t="shared" si="18"/>
        <v>2900.884626536862</v>
      </c>
      <c r="F131" s="4">
        <f t="shared" ref="F131:F132" si="19">E123*($E$120/$E$119)</f>
        <v>2900.884626536862</v>
      </c>
      <c r="G131" s="4">
        <v>0</v>
      </c>
      <c r="H131" s="81" t="s">
        <v>676</v>
      </c>
    </row>
    <row r="132" spans="2:14" x14ac:dyDescent="0.35">
      <c r="E132" s="4">
        <f t="shared" si="18"/>
        <v>-4246.0906830693275</v>
      </c>
      <c r="F132" s="4">
        <f t="shared" si="19"/>
        <v>-4246.0906830693275</v>
      </c>
      <c r="G132" s="4">
        <v>0</v>
      </c>
      <c r="H132" s="4" t="s">
        <v>689</v>
      </c>
    </row>
    <row r="133" spans="2:14" x14ac:dyDescent="0.35">
      <c r="E133" s="4">
        <f t="shared" si="18"/>
        <v>-332.05824563333562</v>
      </c>
      <c r="F133" s="4">
        <f>F134-F135</f>
        <v>-332.05824563333562</v>
      </c>
      <c r="G133" s="4">
        <v>0</v>
      </c>
      <c r="H133" s="4" t="s">
        <v>690</v>
      </c>
    </row>
    <row r="134" spans="2:14" x14ac:dyDescent="0.35">
      <c r="E134" s="4">
        <f t="shared" si="18"/>
        <v>22.70938139166682</v>
      </c>
      <c r="F134" s="4">
        <f>E125*($E$120/$E$119)</f>
        <v>22.70938139166682</v>
      </c>
      <c r="G134" s="4">
        <v>0</v>
      </c>
      <c r="H134" s="81" t="s">
        <v>686</v>
      </c>
    </row>
    <row r="135" spans="2:14" x14ac:dyDescent="0.35">
      <c r="E135" s="4">
        <f t="shared" si="18"/>
        <v>354.76762702500241</v>
      </c>
      <c r="F135" s="4">
        <f>E126*($E$120/$E$119)</f>
        <v>354.76762702500241</v>
      </c>
      <c r="G135" s="4">
        <v>0</v>
      </c>
      <c r="H135" s="81" t="s">
        <v>687</v>
      </c>
    </row>
    <row r="136" spans="2:14" x14ac:dyDescent="0.35">
      <c r="E136" s="4" t="s">
        <v>802</v>
      </c>
    </row>
    <row r="138" spans="2:14" ht="14.5" customHeight="1" x14ac:dyDescent="0.35">
      <c r="B138" s="108" t="s">
        <v>803</v>
      </c>
      <c r="E138" s="67" t="s">
        <v>863</v>
      </c>
      <c r="J138" s="68"/>
      <c r="K138" s="68"/>
      <c r="L138" s="68"/>
      <c r="M138" s="68"/>
      <c r="N138" s="68"/>
    </row>
    <row r="139" spans="2:14" ht="14.5" customHeight="1" x14ac:dyDescent="0.35">
      <c r="B139" s="108"/>
      <c r="D139" s="4"/>
      <c r="E139" s="4" t="s">
        <v>241</v>
      </c>
      <c r="F139" s="4" t="s">
        <v>401</v>
      </c>
      <c r="G139" s="4" t="s">
        <v>402</v>
      </c>
      <c r="J139" s="68"/>
      <c r="K139" s="68"/>
      <c r="L139" s="68"/>
      <c r="M139" s="68"/>
      <c r="N139" s="68"/>
    </row>
    <row r="140" spans="2:14" x14ac:dyDescent="0.35">
      <c r="B140" s="108"/>
      <c r="E140" s="4">
        <f>SUM(F140:G140)</f>
        <v>18200.269819427987</v>
      </c>
      <c r="F140" s="4">
        <f>SUM(F141:F143)</f>
        <v>18200.269819427987</v>
      </c>
      <c r="G140" s="4">
        <v>0</v>
      </c>
      <c r="H140" s="83" t="s">
        <v>804</v>
      </c>
      <c r="J140" s="68"/>
      <c r="K140" s="68"/>
      <c r="L140" s="68"/>
      <c r="M140" s="68"/>
      <c r="N140" s="68"/>
    </row>
    <row r="141" spans="2:14" x14ac:dyDescent="0.35">
      <c r="B141" s="108"/>
      <c r="E141" s="4">
        <f t="shared" ref="E141:E152" si="20">SUM(F141:G141)</f>
        <v>9532.8009494749313</v>
      </c>
      <c r="F141" s="4">
        <f>F6</f>
        <v>9532.8009494749313</v>
      </c>
      <c r="G141" s="4">
        <v>0</v>
      </c>
      <c r="H141" s="81" t="s">
        <v>805</v>
      </c>
      <c r="J141" s="68"/>
      <c r="K141" s="68"/>
      <c r="L141" s="68"/>
      <c r="M141" s="68"/>
      <c r="N141" s="68"/>
    </row>
    <row r="142" spans="2:14" x14ac:dyDescent="0.35">
      <c r="B142" s="108"/>
      <c r="E142" s="4">
        <f t="shared" si="20"/>
        <v>5517.7290000000003</v>
      </c>
      <c r="F142" s="4">
        <f>F63</f>
        <v>5517.7290000000003</v>
      </c>
      <c r="G142" s="4">
        <v>0</v>
      </c>
      <c r="H142" s="81" t="s">
        <v>806</v>
      </c>
      <c r="J142" s="68"/>
      <c r="K142" s="68"/>
      <c r="L142" s="68"/>
      <c r="M142" s="68"/>
      <c r="N142" s="68"/>
    </row>
    <row r="143" spans="2:14" x14ac:dyDescent="0.35">
      <c r="B143" s="108"/>
      <c r="E143" s="4">
        <f t="shared" si="20"/>
        <v>3149.7398699530554</v>
      </c>
      <c r="F143" s="4">
        <f>F80</f>
        <v>3149.7398699530554</v>
      </c>
      <c r="G143" s="4">
        <v>0</v>
      </c>
      <c r="H143" s="81" t="s">
        <v>807</v>
      </c>
      <c r="J143" s="68"/>
      <c r="K143" s="68"/>
      <c r="L143" s="68"/>
      <c r="M143" s="68"/>
      <c r="N143" s="68"/>
    </row>
    <row r="144" spans="2:14" x14ac:dyDescent="0.35">
      <c r="B144" s="108"/>
      <c r="E144" s="4">
        <f t="shared" si="20"/>
        <v>17192.678321170417</v>
      </c>
      <c r="F144" s="4">
        <f>F140+F149</f>
        <v>17192.678321170417</v>
      </c>
      <c r="G144" s="4">
        <v>0</v>
      </c>
      <c r="H144" s="83" t="s">
        <v>808</v>
      </c>
      <c r="J144" s="68"/>
      <c r="K144" s="68"/>
      <c r="L144" s="68"/>
      <c r="M144" s="68"/>
      <c r="N144" s="68"/>
    </row>
    <row r="145" spans="2:14" x14ac:dyDescent="0.35">
      <c r="B145" s="108"/>
      <c r="E145" s="4">
        <f t="shared" si="20"/>
        <v>18087.407942200018</v>
      </c>
      <c r="F145" s="4">
        <f>F24</f>
        <v>18087.407942200018</v>
      </c>
      <c r="G145" s="4">
        <v>0</v>
      </c>
      <c r="H145" s="81" t="s">
        <v>809</v>
      </c>
      <c r="J145" s="68"/>
      <c r="K145" s="68"/>
      <c r="L145" s="68"/>
      <c r="M145" s="68"/>
      <c r="N145" s="68"/>
    </row>
    <row r="146" spans="2:14" x14ac:dyDescent="0.35">
      <c r="B146" s="96"/>
      <c r="D146" s="4"/>
      <c r="E146" s="4">
        <f t="shared" si="20"/>
        <v>-894.72962102960082</v>
      </c>
      <c r="F146" s="4">
        <f>F144-F145</f>
        <v>-894.72962102960082</v>
      </c>
      <c r="G146" s="4">
        <v>0</v>
      </c>
      <c r="H146" s="81" t="s">
        <v>810</v>
      </c>
      <c r="J146" s="68"/>
      <c r="K146" s="68"/>
      <c r="L146" s="68"/>
      <c r="M146" s="68"/>
      <c r="N146" s="68"/>
    </row>
    <row r="147" spans="2:14" x14ac:dyDescent="0.35">
      <c r="B147" s="96"/>
      <c r="E147" s="4">
        <f t="shared" si="20"/>
        <v>-2441.9760377065959</v>
      </c>
      <c r="F147" s="4">
        <f>F129</f>
        <v>-2441.9760377065959</v>
      </c>
      <c r="G147" s="4">
        <v>0</v>
      </c>
      <c r="H147" s="83" t="s">
        <v>584</v>
      </c>
      <c r="J147" s="68"/>
      <c r="K147" s="68"/>
      <c r="L147" s="68"/>
      <c r="M147" s="68"/>
      <c r="N147" s="68"/>
    </row>
    <row r="148" spans="2:14" x14ac:dyDescent="0.35">
      <c r="B148" s="96"/>
      <c r="E148" s="4">
        <f t="shared" si="20"/>
        <v>-539.65491841942458</v>
      </c>
      <c r="F148" s="4">
        <f>(F140-F144)+F147-F146</f>
        <v>-539.65491841942458</v>
      </c>
      <c r="G148" s="4">
        <v>0</v>
      </c>
      <c r="H148" s="83" t="s">
        <v>811</v>
      </c>
    </row>
    <row r="149" spans="2:14" x14ac:dyDescent="0.35">
      <c r="B149" s="96"/>
      <c r="E149" s="4">
        <f t="shared" si="20"/>
        <v>-1007.5914982575707</v>
      </c>
      <c r="F149" s="4">
        <f>F133+(G24-G6)</f>
        <v>-1007.5914982575707</v>
      </c>
      <c r="G149" s="4">
        <v>0</v>
      </c>
      <c r="H149" s="83" t="s">
        <v>812</v>
      </c>
    </row>
    <row r="150" spans="2:14" x14ac:dyDescent="0.35">
      <c r="B150" s="96"/>
      <c r="H150" s="83"/>
    </row>
    <row r="151" spans="2:14" x14ac:dyDescent="0.35">
      <c r="B151" s="96"/>
      <c r="E151" s="4">
        <f t="shared" si="20"/>
        <v>-4246.0906830693275</v>
      </c>
      <c r="F151" s="4">
        <f>F132</f>
        <v>-4246.0906830693275</v>
      </c>
      <c r="G151" s="4">
        <v>0</v>
      </c>
      <c r="H151" s="83" t="s">
        <v>867</v>
      </c>
    </row>
    <row r="152" spans="2:14" x14ac:dyDescent="0.35">
      <c r="B152" s="96"/>
      <c r="E152" s="4">
        <f t="shared" si="20"/>
        <v>2698.8442663923324</v>
      </c>
      <c r="F152" s="4">
        <f>F148-F151+F149</f>
        <v>2698.8442663923324</v>
      </c>
      <c r="G152" s="4">
        <v>0</v>
      </c>
      <c r="H152" s="83" t="s">
        <v>813</v>
      </c>
    </row>
    <row r="154" spans="2:14" ht="15" thickBot="1" x14ac:dyDescent="0.4"/>
    <row r="155" spans="2:14" x14ac:dyDescent="0.35">
      <c r="B155" s="44" t="s">
        <v>914</v>
      </c>
      <c r="E155" s="69" t="s">
        <v>589</v>
      </c>
      <c r="F155" s="97" t="s">
        <v>510</v>
      </c>
      <c r="G155" s="97" t="s">
        <v>832</v>
      </c>
      <c r="H155" s="98"/>
    </row>
    <row r="156" spans="2:14" x14ac:dyDescent="0.35">
      <c r="E156" s="71">
        <f t="shared" ref="E156:E208" si="21">SUM(F156:G156)</f>
        <v>-1396.1167959092527</v>
      </c>
      <c r="F156" s="4">
        <f>F157+F199</f>
        <v>112.86187722796967</v>
      </c>
      <c r="G156" s="4">
        <f>G157+G199</f>
        <v>-1508.9786731372224</v>
      </c>
      <c r="H156" s="87" t="s">
        <v>915</v>
      </c>
    </row>
    <row r="157" spans="2:14" x14ac:dyDescent="0.35">
      <c r="E157" s="71">
        <f t="shared" si="21"/>
        <v>-637.26935639394833</v>
      </c>
      <c r="F157" s="4">
        <f>F158-F177</f>
        <v>-1691.2527681347601</v>
      </c>
      <c r="G157" s="4">
        <f>G158-G177</f>
        <v>1053.9834117408118</v>
      </c>
      <c r="H157" s="87" t="s">
        <v>814</v>
      </c>
    </row>
    <row r="158" spans="2:14" x14ac:dyDescent="0.35">
      <c r="E158" s="71">
        <f t="shared" si="21"/>
        <v>27688.649081143983</v>
      </c>
      <c r="F158" s="4">
        <f>F159+F163</f>
        <v>18200.269819427987</v>
      </c>
      <c r="G158" s="4">
        <f>G159+G163</f>
        <v>9488.3792617159961</v>
      </c>
      <c r="H158" s="88" t="s">
        <v>815</v>
      </c>
    </row>
    <row r="159" spans="2:14" x14ac:dyDescent="0.35">
      <c r="E159" s="71">
        <f t="shared" si="21"/>
        <v>18188.980521901136</v>
      </c>
      <c r="F159" s="4">
        <f>F160+F161+F162</f>
        <v>9532.8009494749313</v>
      </c>
      <c r="G159" s="4">
        <f>G160+G161+G162</f>
        <v>8656.1795724262047</v>
      </c>
      <c r="H159" s="89" t="s">
        <v>816</v>
      </c>
    </row>
    <row r="160" spans="2:14" x14ac:dyDescent="0.35">
      <c r="E160" s="71">
        <f t="shared" si="21"/>
        <v>3634.4101278356611</v>
      </c>
      <c r="F160" s="4">
        <f>F7</f>
        <v>15.905573619999998</v>
      </c>
      <c r="G160" s="4">
        <f>F15</f>
        <v>3618.5045542156613</v>
      </c>
      <c r="H160" s="90" t="s">
        <v>138</v>
      </c>
    </row>
    <row r="161" spans="5:8" x14ac:dyDescent="0.35">
      <c r="E161" s="71">
        <f t="shared" si="21"/>
        <v>7539.3449719092805</v>
      </c>
      <c r="F161" s="4">
        <f>F8</f>
        <v>5034.7428200899994</v>
      </c>
      <c r="G161" s="4">
        <f>F16</f>
        <v>2504.6021518192811</v>
      </c>
      <c r="H161" s="90" t="s">
        <v>198</v>
      </c>
    </row>
    <row r="162" spans="5:8" x14ac:dyDescent="0.35">
      <c r="E162" s="71">
        <f t="shared" si="21"/>
        <v>7015.2254221561952</v>
      </c>
      <c r="F162" s="4">
        <f>F12</f>
        <v>4482.152555764932</v>
      </c>
      <c r="G162" s="4">
        <f>F20</f>
        <v>2533.0728663912632</v>
      </c>
      <c r="H162" s="90" t="s">
        <v>817</v>
      </c>
    </row>
    <row r="163" spans="5:8" x14ac:dyDescent="0.35">
      <c r="E163" s="71">
        <f t="shared" si="21"/>
        <v>9499.6685592428476</v>
      </c>
      <c r="F163" s="4">
        <f>F164+F165</f>
        <v>8667.4688699530561</v>
      </c>
      <c r="G163" s="4">
        <f>G164+G165</f>
        <v>832.19968928979119</v>
      </c>
      <c r="H163" s="89" t="s">
        <v>818</v>
      </c>
    </row>
    <row r="164" spans="5:8" x14ac:dyDescent="0.35">
      <c r="E164" s="71">
        <f t="shared" si="21"/>
        <v>5517.7290000000003</v>
      </c>
      <c r="F164" s="4">
        <f>F63</f>
        <v>5517.7290000000003</v>
      </c>
      <c r="G164" s="4">
        <f>F64</f>
        <v>0</v>
      </c>
      <c r="H164" s="90" t="s">
        <v>819</v>
      </c>
    </row>
    <row r="165" spans="5:8" x14ac:dyDescent="0.35">
      <c r="E165" s="71">
        <f t="shared" si="21"/>
        <v>3981.9395592428464</v>
      </c>
      <c r="F165" s="4">
        <f>F166+F171+F172+F173+F174</f>
        <v>3149.7398699530554</v>
      </c>
      <c r="G165" s="4">
        <f>G166+G171+G172+G173+G174</f>
        <v>832.19968928979119</v>
      </c>
      <c r="H165" s="90" t="s">
        <v>807</v>
      </c>
    </row>
    <row r="166" spans="5:8" x14ac:dyDescent="0.35">
      <c r="E166" s="71">
        <f t="shared" si="21"/>
        <v>2200.904</v>
      </c>
      <c r="F166" s="4">
        <f t="shared" ref="F166:F173" si="22">F81</f>
        <v>1884.3035365329442</v>
      </c>
      <c r="G166" s="4">
        <f t="shared" ref="G166:G173" si="23">F93</f>
        <v>316.60046346705576</v>
      </c>
      <c r="H166" s="91" t="s">
        <v>20</v>
      </c>
    </row>
    <row r="167" spans="5:8" x14ac:dyDescent="0.35">
      <c r="E167" s="71">
        <f t="shared" si="21"/>
        <v>165.19399999999999</v>
      </c>
      <c r="F167" s="4">
        <f t="shared" si="22"/>
        <v>165.19399999999999</v>
      </c>
      <c r="G167" s="4">
        <f t="shared" si="23"/>
        <v>0</v>
      </c>
      <c r="H167" s="92" t="s">
        <v>304</v>
      </c>
    </row>
    <row r="168" spans="5:8" x14ac:dyDescent="0.35">
      <c r="E168" s="71">
        <f t="shared" si="21"/>
        <v>224.17400000000001</v>
      </c>
      <c r="F168" s="4">
        <f t="shared" si="22"/>
        <v>224.17400000000001</v>
      </c>
      <c r="G168" s="4">
        <f t="shared" si="23"/>
        <v>0</v>
      </c>
      <c r="H168" s="92" t="s">
        <v>305</v>
      </c>
    </row>
    <row r="169" spans="5:8" x14ac:dyDescent="0.35">
      <c r="E169" s="71">
        <f t="shared" si="21"/>
        <v>934.726</v>
      </c>
      <c r="F169" s="4">
        <f t="shared" si="22"/>
        <v>934.726</v>
      </c>
      <c r="G169" s="4">
        <f t="shared" si="23"/>
        <v>0</v>
      </c>
      <c r="H169" s="92" t="s">
        <v>306</v>
      </c>
    </row>
    <row r="170" spans="5:8" x14ac:dyDescent="0.35">
      <c r="E170" s="71">
        <f t="shared" si="21"/>
        <v>876.81</v>
      </c>
      <c r="F170" s="4">
        <f t="shared" si="22"/>
        <v>560.20953653294418</v>
      </c>
      <c r="G170" s="4">
        <f t="shared" si="23"/>
        <v>316.60046346705576</v>
      </c>
      <c r="H170" s="92" t="s">
        <v>307</v>
      </c>
    </row>
    <row r="171" spans="5:8" x14ac:dyDescent="0.35">
      <c r="E171" s="71">
        <f t="shared" si="21"/>
        <v>153.19800000000001</v>
      </c>
      <c r="F171" s="4">
        <f t="shared" si="22"/>
        <v>3.5760000000000001</v>
      </c>
      <c r="G171" s="4">
        <f t="shared" si="23"/>
        <v>149.62200000000001</v>
      </c>
      <c r="H171" s="91" t="s">
        <v>21</v>
      </c>
    </row>
    <row r="172" spans="5:8" x14ac:dyDescent="0.35">
      <c r="E172" s="71">
        <f t="shared" si="21"/>
        <v>1079.2329999999999</v>
      </c>
      <c r="F172" s="4">
        <f t="shared" si="22"/>
        <v>1079.2329999999999</v>
      </c>
      <c r="G172" s="4">
        <f t="shared" si="23"/>
        <v>0</v>
      </c>
      <c r="H172" s="91" t="s">
        <v>316</v>
      </c>
    </row>
    <row r="173" spans="5:8" x14ac:dyDescent="0.35">
      <c r="E173" s="71">
        <f t="shared" si="21"/>
        <v>196.81000000000003</v>
      </c>
      <c r="F173" s="4">
        <f t="shared" si="22"/>
        <v>0.86131609643526386</v>
      </c>
      <c r="G173" s="4">
        <f t="shared" si="23"/>
        <v>195.94868390356476</v>
      </c>
      <c r="H173" s="91" t="s">
        <v>321</v>
      </c>
    </row>
    <row r="174" spans="5:8" x14ac:dyDescent="0.35">
      <c r="E174" s="71">
        <f t="shared" si="21"/>
        <v>351.79455924284667</v>
      </c>
      <c r="F174" s="4">
        <f>SUM(F175:F176)</f>
        <v>181.76601732367601</v>
      </c>
      <c r="G174" s="4">
        <f>SUM(G175:G176)</f>
        <v>170.02854191917066</v>
      </c>
      <c r="H174" s="91" t="s">
        <v>820</v>
      </c>
    </row>
    <row r="175" spans="5:8" x14ac:dyDescent="0.35">
      <c r="E175" s="71">
        <f t="shared" si="21"/>
        <v>201.245</v>
      </c>
      <c r="F175" s="4">
        <f>F89</f>
        <v>128.579017323676</v>
      </c>
      <c r="G175" s="4">
        <f>F101</f>
        <v>72.665982676323992</v>
      </c>
      <c r="H175" s="92" t="s">
        <v>322</v>
      </c>
    </row>
    <row r="176" spans="5:8" x14ac:dyDescent="0.35">
      <c r="E176" s="71">
        <f t="shared" si="21"/>
        <v>150.54955924284667</v>
      </c>
      <c r="F176" s="4">
        <f>F90</f>
        <v>53.186999999999998</v>
      </c>
      <c r="G176" s="4">
        <f>F102</f>
        <v>97.362559242846672</v>
      </c>
      <c r="H176" s="92" t="s">
        <v>670</v>
      </c>
    </row>
    <row r="177" spans="5:8" x14ac:dyDescent="0.35">
      <c r="E177" s="71">
        <f t="shared" si="21"/>
        <v>28325.918437537934</v>
      </c>
      <c r="F177" s="4">
        <f>F158-F212</f>
        <v>19891.522587562748</v>
      </c>
      <c r="G177" s="4">
        <f>G158-G212</f>
        <v>8434.3958499751843</v>
      </c>
      <c r="H177" s="88" t="s">
        <v>821</v>
      </c>
    </row>
    <row r="178" spans="5:8" x14ac:dyDescent="0.35">
      <c r="E178" s="71">
        <f t="shared" si="21"/>
        <v>29084.765877053236</v>
      </c>
      <c r="F178" s="7">
        <f>F179+F183+F188+F194+F191</f>
        <v>18087.407942200018</v>
      </c>
      <c r="G178" s="7">
        <f>G179+G183+G188+G194+G191</f>
        <v>10997.357934853218</v>
      </c>
      <c r="H178" s="89" t="s">
        <v>809</v>
      </c>
    </row>
    <row r="179" spans="5:8" x14ac:dyDescent="0.35">
      <c r="E179" s="71">
        <f t="shared" si="21"/>
        <v>4840.8257261728359</v>
      </c>
      <c r="F179" s="7">
        <f>SUM(F180:F182)</f>
        <v>148.18416645383135</v>
      </c>
      <c r="G179" s="4">
        <f>SUM(G180:G182)</f>
        <v>4692.6415597190044</v>
      </c>
      <c r="H179" s="93" t="s">
        <v>1070</v>
      </c>
    </row>
    <row r="180" spans="5:8" x14ac:dyDescent="0.35">
      <c r="E180" s="71">
        <f t="shared" si="21"/>
        <v>38.591001263589739</v>
      </c>
      <c r="F180" s="7">
        <v>0</v>
      </c>
      <c r="G180" s="4">
        <f>F45</f>
        <v>38.591001263589739</v>
      </c>
      <c r="H180" s="94" t="s">
        <v>426</v>
      </c>
    </row>
    <row r="181" spans="5:8" x14ac:dyDescent="0.35">
      <c r="E181" s="71">
        <f t="shared" si="21"/>
        <v>92.705360488205116</v>
      </c>
      <c r="F181" s="7">
        <v>0</v>
      </c>
      <c r="G181" s="4">
        <f>F46</f>
        <v>92.705360488205116</v>
      </c>
      <c r="H181" s="94" t="s">
        <v>129</v>
      </c>
    </row>
    <row r="182" spans="5:8" x14ac:dyDescent="0.35">
      <c r="E182" s="71">
        <f t="shared" si="21"/>
        <v>4709.5293644210406</v>
      </c>
      <c r="F182" s="7">
        <f>F25</f>
        <v>148.18416645383135</v>
      </c>
      <c r="G182" s="4">
        <f>F43+F47</f>
        <v>4561.3451979672091</v>
      </c>
      <c r="H182" s="94" t="s">
        <v>474</v>
      </c>
    </row>
    <row r="183" spans="5:8" x14ac:dyDescent="0.35">
      <c r="E183" s="71">
        <f t="shared" si="21"/>
        <v>3026.5970309975069</v>
      </c>
      <c r="F183" s="4">
        <f>SUM(F184:F187)</f>
        <v>0</v>
      </c>
      <c r="G183" s="4">
        <f>SUM(G184:G187)</f>
        <v>3026.5970309975069</v>
      </c>
      <c r="H183" s="93" t="s">
        <v>1068</v>
      </c>
    </row>
    <row r="184" spans="5:8" x14ac:dyDescent="0.35">
      <c r="E184" s="71">
        <f t="shared" si="21"/>
        <v>0</v>
      </c>
      <c r="F184" s="4">
        <f>F27</f>
        <v>0</v>
      </c>
      <c r="G184" s="4">
        <f>F49</f>
        <v>0</v>
      </c>
      <c r="H184" s="94" t="s">
        <v>591</v>
      </c>
    </row>
    <row r="185" spans="5:8" x14ac:dyDescent="0.35">
      <c r="E185" s="71">
        <f t="shared" si="21"/>
        <v>0</v>
      </c>
      <c r="F185" s="4">
        <f>F28</f>
        <v>0</v>
      </c>
      <c r="G185" s="4">
        <f>F50</f>
        <v>0</v>
      </c>
      <c r="H185" s="94" t="s">
        <v>592</v>
      </c>
    </row>
    <row r="186" spans="5:8" x14ac:dyDescent="0.35">
      <c r="E186" s="71">
        <f t="shared" si="21"/>
        <v>202.89969908200354</v>
      </c>
      <c r="F186" s="4">
        <f>F29</f>
        <v>0</v>
      </c>
      <c r="G186" s="4">
        <f>F51</f>
        <v>202.89969908200354</v>
      </c>
      <c r="H186" s="94" t="s">
        <v>593</v>
      </c>
    </row>
    <row r="187" spans="5:8" x14ac:dyDescent="0.35">
      <c r="E187" s="71">
        <f t="shared" si="21"/>
        <v>2823.6973319155031</v>
      </c>
      <c r="F187" s="4">
        <f>F30</f>
        <v>0</v>
      </c>
      <c r="G187" s="4">
        <f>F52</f>
        <v>2823.6973319155031</v>
      </c>
      <c r="H187" s="94" t="s">
        <v>594</v>
      </c>
    </row>
    <row r="188" spans="5:8" x14ac:dyDescent="0.35">
      <c r="E188" s="71">
        <f t="shared" si="21"/>
        <v>15061.072982381653</v>
      </c>
      <c r="F188" s="4">
        <f>SUM(F189:F190)</f>
        <v>12020.953638244946</v>
      </c>
      <c r="G188" s="4">
        <f>SUM(G189:G190)</f>
        <v>3040.1193441367068</v>
      </c>
      <c r="H188" s="93" t="s">
        <v>1069</v>
      </c>
    </row>
    <row r="189" spans="5:8" x14ac:dyDescent="0.35">
      <c r="E189" s="71">
        <f t="shared" si="21"/>
        <v>14254.165098977181</v>
      </c>
      <c r="F189" s="4">
        <f>F33</f>
        <v>11391.519638244947</v>
      </c>
      <c r="G189" s="4">
        <f>F54</f>
        <v>2862.645460732233</v>
      </c>
      <c r="H189" s="94" t="s">
        <v>132</v>
      </c>
    </row>
    <row r="190" spans="5:8" x14ac:dyDescent="0.35">
      <c r="E190" s="71">
        <f t="shared" si="21"/>
        <v>806.90788340447398</v>
      </c>
      <c r="F190" s="4">
        <f>F32</f>
        <v>629.43399999999997</v>
      </c>
      <c r="G190" s="4">
        <f>F55</f>
        <v>177.47388340447401</v>
      </c>
      <c r="H190" s="94" t="s">
        <v>133</v>
      </c>
    </row>
    <row r="191" spans="5:8" x14ac:dyDescent="0.35">
      <c r="E191" s="71">
        <f t="shared" si="21"/>
        <v>184.935</v>
      </c>
      <c r="F191" s="4">
        <f t="shared" ref="F191" si="24">F192+F193</f>
        <v>184.935</v>
      </c>
      <c r="G191" s="4">
        <f>G192+G193</f>
        <v>0</v>
      </c>
      <c r="H191" s="93" t="s">
        <v>135</v>
      </c>
    </row>
    <row r="192" spans="5:8" x14ac:dyDescent="0.35">
      <c r="E192" s="71">
        <f t="shared" si="21"/>
        <v>143.30000000000001</v>
      </c>
      <c r="F192" s="4">
        <f>F34</f>
        <v>143.30000000000001</v>
      </c>
      <c r="G192" s="4">
        <v>0</v>
      </c>
      <c r="H192" s="94" t="s">
        <v>597</v>
      </c>
    </row>
    <row r="193" spans="5:8" x14ac:dyDescent="0.35">
      <c r="E193" s="71">
        <f t="shared" si="21"/>
        <v>41.634999999999998</v>
      </c>
      <c r="F193" s="4">
        <f>F35</f>
        <v>41.634999999999998</v>
      </c>
      <c r="G193" s="4">
        <v>0</v>
      </c>
      <c r="H193" s="94" t="s">
        <v>598</v>
      </c>
    </row>
    <row r="194" spans="5:8" x14ac:dyDescent="0.35">
      <c r="E194" s="71">
        <f t="shared" si="21"/>
        <v>5971.3351375012408</v>
      </c>
      <c r="F194" s="4">
        <f>SUM(F195:F197)</f>
        <v>5733.3351375012408</v>
      </c>
      <c r="G194" s="4">
        <f>SUM(G195:G197)</f>
        <v>238</v>
      </c>
      <c r="H194" s="93" t="s">
        <v>599</v>
      </c>
    </row>
    <row r="195" spans="5:8" x14ac:dyDescent="0.35">
      <c r="E195" s="71">
        <f t="shared" si="21"/>
        <v>5430.7964148986393</v>
      </c>
      <c r="F195" s="4">
        <f>F37</f>
        <v>5430.7964148986393</v>
      </c>
      <c r="G195" s="4">
        <v>0</v>
      </c>
      <c r="H195" s="94" t="s">
        <v>600</v>
      </c>
    </row>
    <row r="196" spans="5:8" x14ac:dyDescent="0.35">
      <c r="E196" s="71">
        <f t="shared" si="21"/>
        <v>285.33072260260207</v>
      </c>
      <c r="F196" s="4">
        <f>F38</f>
        <v>285.33072260260207</v>
      </c>
      <c r="G196" s="4">
        <v>0</v>
      </c>
      <c r="H196" s="94" t="s">
        <v>601</v>
      </c>
    </row>
    <row r="197" spans="5:8" x14ac:dyDescent="0.35">
      <c r="E197" s="71">
        <f t="shared" si="21"/>
        <v>255.208</v>
      </c>
      <c r="F197" s="4">
        <f>F39</f>
        <v>17.207999999999998</v>
      </c>
      <c r="G197" s="4">
        <f>F57</f>
        <v>238</v>
      </c>
      <c r="H197" s="94" t="s">
        <v>381</v>
      </c>
    </row>
    <row r="198" spans="5:8" x14ac:dyDescent="0.35">
      <c r="E198" s="71">
        <f t="shared" si="21"/>
        <v>-758.84743951530436</v>
      </c>
      <c r="F198" s="4">
        <f>F177-F178</f>
        <v>1804.1146453627298</v>
      </c>
      <c r="G198" s="4">
        <f>G177-G178</f>
        <v>-2562.9620848780341</v>
      </c>
      <c r="H198" s="89" t="s">
        <v>822</v>
      </c>
    </row>
    <row r="199" spans="5:8" x14ac:dyDescent="0.35">
      <c r="E199" s="71">
        <f t="shared" si="21"/>
        <v>-758.84743951530436</v>
      </c>
      <c r="F199" s="4">
        <f>F198</f>
        <v>1804.1146453627298</v>
      </c>
      <c r="G199" s="4">
        <f>G198</f>
        <v>-2562.9620848780341</v>
      </c>
      <c r="H199" s="87" t="s">
        <v>823</v>
      </c>
    </row>
    <row r="200" spans="5:8" x14ac:dyDescent="0.35">
      <c r="E200" s="71">
        <f t="shared" si="21"/>
        <v>-2744.0250639921574</v>
      </c>
      <c r="F200" s="4">
        <f>F201+F202</f>
        <v>-2441.9760377065959</v>
      </c>
      <c r="G200" s="4">
        <f>G201+G202</f>
        <v>-302.04902628556135</v>
      </c>
      <c r="H200" s="88" t="s">
        <v>824</v>
      </c>
    </row>
    <row r="201" spans="5:8" x14ac:dyDescent="0.35">
      <c r="E201" s="71">
        <f t="shared" si="21"/>
        <v>0</v>
      </c>
      <c r="F201" s="4">
        <v>0</v>
      </c>
      <c r="G201" s="4">
        <v>0</v>
      </c>
      <c r="H201" s="89" t="s">
        <v>585</v>
      </c>
    </row>
    <row r="202" spans="5:8" x14ac:dyDescent="0.35">
      <c r="E202" s="71">
        <f t="shared" si="21"/>
        <v>-2744.0250639921574</v>
      </c>
      <c r="F202" s="4">
        <f>F203-F204</f>
        <v>-2441.9760377065959</v>
      </c>
      <c r="G202" s="4">
        <f>G203-G204</f>
        <v>-302.04902628556135</v>
      </c>
      <c r="H202" s="89" t="s">
        <v>586</v>
      </c>
    </row>
    <row r="203" spans="5:8" x14ac:dyDescent="0.35">
      <c r="E203" s="71">
        <f t="shared" si="21"/>
        <v>692.90812252909643</v>
      </c>
      <c r="F203" s="4">
        <f>F130</f>
        <v>458.9085888302663</v>
      </c>
      <c r="G203" s="4">
        <f>F109</f>
        <v>233.99953369883011</v>
      </c>
      <c r="H203" s="90" t="s">
        <v>587</v>
      </c>
    </row>
    <row r="204" spans="5:8" x14ac:dyDescent="0.35">
      <c r="E204" s="71">
        <f t="shared" si="21"/>
        <v>3436.9331865212534</v>
      </c>
      <c r="F204" s="4">
        <f>F131</f>
        <v>2900.884626536862</v>
      </c>
      <c r="G204" s="4">
        <f>F110</f>
        <v>536.04855998439143</v>
      </c>
      <c r="H204" s="90" t="s">
        <v>567</v>
      </c>
    </row>
    <row r="205" spans="5:8" x14ac:dyDescent="0.35">
      <c r="E205" s="71">
        <f t="shared" si="21"/>
        <v>-1985.177624476853</v>
      </c>
      <c r="F205" s="4">
        <f>F200-F199</f>
        <v>-4246.0906830693257</v>
      </c>
      <c r="G205" s="4">
        <f>G200-G199</f>
        <v>2260.9130585924727</v>
      </c>
      <c r="H205" s="88" t="s">
        <v>825</v>
      </c>
    </row>
    <row r="206" spans="5:8" x14ac:dyDescent="0.35">
      <c r="E206" s="71">
        <f t="shared" si="21"/>
        <v>-228.03909300000009</v>
      </c>
      <c r="F206" s="4">
        <f>F207-F208</f>
        <v>0</v>
      </c>
      <c r="G206" s="4">
        <f>G207-G208</f>
        <v>-228.03909300000009</v>
      </c>
      <c r="H206" s="89" t="s">
        <v>830</v>
      </c>
    </row>
    <row r="207" spans="5:8" x14ac:dyDescent="0.35">
      <c r="E207" s="71">
        <f t="shared" si="21"/>
        <v>1535.166655</v>
      </c>
      <c r="F207" s="4">
        <v>0</v>
      </c>
      <c r="G207" s="4">
        <f>F113</f>
        <v>1535.166655</v>
      </c>
      <c r="H207" s="90" t="s">
        <v>868</v>
      </c>
    </row>
    <row r="208" spans="5:8" x14ac:dyDescent="0.35">
      <c r="E208" s="71">
        <f t="shared" si="21"/>
        <v>1763.2057480000001</v>
      </c>
      <c r="F208" s="4">
        <v>0</v>
      </c>
      <c r="G208" s="4">
        <f>F114</f>
        <v>1763.2057480000001</v>
      </c>
      <c r="H208" s="90" t="s">
        <v>869</v>
      </c>
    </row>
    <row r="209" spans="5:8" ht="15" thickBot="1" x14ac:dyDescent="0.4">
      <c r="E209" s="77">
        <f>SUM(F209:G209)</f>
        <v>-1757.1385314768531</v>
      </c>
      <c r="F209" s="99">
        <f>F205-F206</f>
        <v>-4246.0906830693257</v>
      </c>
      <c r="G209" s="100">
        <f>G205-G206</f>
        <v>2488.9521515924725</v>
      </c>
      <c r="H209" s="95" t="s">
        <v>831</v>
      </c>
    </row>
    <row r="211" spans="5:8" x14ac:dyDescent="0.35">
      <c r="H211" s="83" t="s">
        <v>826</v>
      </c>
    </row>
    <row r="212" spans="5:8" x14ac:dyDescent="0.35">
      <c r="E212" s="4">
        <f>F212+G212</f>
        <v>-637.26935639395015</v>
      </c>
      <c r="F212" s="4">
        <f>-F149-F152</f>
        <v>-1691.2527681347617</v>
      </c>
      <c r="G212" s="4">
        <f>G41-G14</f>
        <v>1053.9834117408116</v>
      </c>
      <c r="H212" s="81" t="s">
        <v>827</v>
      </c>
    </row>
    <row r="213" spans="5:8" x14ac:dyDescent="0.35">
      <c r="E213" s="4" t="s">
        <v>466</v>
      </c>
      <c r="F213" s="52">
        <f>F151</f>
        <v>-4246.0906830693275</v>
      </c>
      <c r="G213" s="4" t="s">
        <v>466</v>
      </c>
      <c r="H213" s="81" t="s">
        <v>828</v>
      </c>
    </row>
    <row r="214" spans="5:8" x14ac:dyDescent="0.35">
      <c r="H214" s="85" t="s">
        <v>829</v>
      </c>
    </row>
    <row r="215" spans="5:8" x14ac:dyDescent="0.35">
      <c r="H215" s="85"/>
    </row>
  </sheetData>
  <mergeCells count="5">
    <mergeCell ref="B138:B145"/>
    <mergeCell ref="B4:B9"/>
    <mergeCell ref="B22:B37"/>
    <mergeCell ref="B61:B62"/>
    <mergeCell ref="B106:B11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EA39-E736-4682-80B9-F83C23B71B5B}">
  <dimension ref="B2:P71"/>
  <sheetViews>
    <sheetView workbookViewId="0">
      <pane xSplit="2" ySplit="5" topLeftCell="G6" activePane="bottomRight" state="frozen"/>
      <selection pane="topRight" activeCell="C1" sqref="C1"/>
      <selection pane="bottomLeft" activeCell="A6" sqref="A6"/>
      <selection pane="bottomRight" activeCell="P8" sqref="P8"/>
    </sheetView>
  </sheetViews>
  <sheetFormatPr defaultColWidth="8.7265625" defaultRowHeight="14.5" x14ac:dyDescent="0.35"/>
  <cols>
    <col min="1" max="1" width="8.7265625" style="2"/>
    <col min="2" max="2" width="44.7265625" style="2" customWidth="1"/>
    <col min="3" max="6" width="9.54296875" style="2" bestFit="1" customWidth="1"/>
    <col min="7" max="11" width="8.7265625" style="2" bestFit="1"/>
    <col min="12" max="12" width="8.7265625" style="2"/>
    <col min="13" max="13" width="9.54296875" style="2" customWidth="1"/>
    <col min="14" max="14" width="10.1796875" style="2" customWidth="1"/>
    <col min="15" max="15" width="10.26953125" style="2" customWidth="1"/>
    <col min="16" max="16" width="9.7265625" style="2" customWidth="1"/>
    <col min="17" max="17" width="9.54296875" style="2" bestFit="1" customWidth="1"/>
    <col min="18" max="18" width="8.90625" style="2" bestFit="1" customWidth="1"/>
    <col min="19" max="16384" width="8.7265625" style="2"/>
  </cols>
  <sheetData>
    <row r="2" spans="2:16" x14ac:dyDescent="0.35">
      <c r="B2" s="1" t="s">
        <v>691</v>
      </c>
    </row>
    <row r="3" spans="2:16" x14ac:dyDescent="0.35">
      <c r="B3" s="3" t="s">
        <v>692</v>
      </c>
    </row>
    <row r="5" spans="2:16" x14ac:dyDescent="0.35">
      <c r="B5" s="28" t="s">
        <v>693</v>
      </c>
      <c r="C5" s="28">
        <v>2009</v>
      </c>
      <c r="D5" s="28">
        <v>2010</v>
      </c>
      <c r="E5" s="28">
        <v>2011</v>
      </c>
      <c r="F5" s="28">
        <v>2012</v>
      </c>
      <c r="G5" s="28">
        <v>2013</v>
      </c>
      <c r="H5" s="28">
        <v>2014</v>
      </c>
      <c r="I5" s="28">
        <v>2015</v>
      </c>
      <c r="J5" s="28">
        <v>2016</v>
      </c>
      <c r="K5" s="28">
        <v>2017</v>
      </c>
      <c r="L5" s="28">
        <v>2018</v>
      </c>
      <c r="M5" s="28">
        <v>2019</v>
      </c>
      <c r="N5" s="28">
        <v>2020</v>
      </c>
      <c r="O5" s="28">
        <v>2021</v>
      </c>
      <c r="P5" s="28">
        <v>2022</v>
      </c>
    </row>
    <row r="6" spans="2:16" x14ac:dyDescent="0.35">
      <c r="B6" s="28" t="s">
        <v>694</v>
      </c>
      <c r="C6" s="63">
        <v>2242065</v>
      </c>
      <c r="D6" s="63">
        <v>2446264</v>
      </c>
      <c r="E6" s="63">
        <v>2573610</v>
      </c>
      <c r="F6" s="63">
        <v>2700817</v>
      </c>
      <c r="G6" s="63">
        <v>3136319</v>
      </c>
      <c r="H6" s="63">
        <v>3294416</v>
      </c>
      <c r="I6" s="63">
        <v>3448386</v>
      </c>
      <c r="J6" s="63">
        <v>3460672</v>
      </c>
      <c r="K6" s="63">
        <v>3503747</v>
      </c>
      <c r="L6" s="63">
        <v>3583094</v>
      </c>
      <c r="M6" s="63">
        <v>3704182</v>
      </c>
      <c r="N6" s="63">
        <v>3775197</v>
      </c>
      <c r="O6" s="63">
        <v>4388642</v>
      </c>
      <c r="P6" s="63">
        <v>4976305</v>
      </c>
    </row>
    <row r="7" spans="2:16" x14ac:dyDescent="0.35">
      <c r="B7" s="2" t="s">
        <v>695</v>
      </c>
      <c r="C7" s="4">
        <v>1123665</v>
      </c>
      <c r="D7" s="4">
        <v>1273598</v>
      </c>
      <c r="E7" s="4">
        <v>1478403</v>
      </c>
      <c r="F7" s="4">
        <v>1572950</v>
      </c>
      <c r="G7" s="4">
        <v>1744886</v>
      </c>
      <c r="H7" s="4">
        <v>1900450</v>
      </c>
      <c r="I7" s="4">
        <v>2025710</v>
      </c>
      <c r="J7" s="4">
        <v>2021131</v>
      </c>
      <c r="K7" s="4">
        <v>1999804</v>
      </c>
      <c r="L7" s="4">
        <v>2028439</v>
      </c>
      <c r="M7" s="4">
        <v>2113194</v>
      </c>
      <c r="N7" s="4">
        <v>2158247</v>
      </c>
      <c r="O7" s="4">
        <v>2638880</v>
      </c>
      <c r="P7" s="4">
        <v>3102257</v>
      </c>
    </row>
    <row r="8" spans="2:16" x14ac:dyDescent="0.35">
      <c r="B8" s="2" t="s">
        <v>696</v>
      </c>
      <c r="C8" s="4">
        <v>866552</v>
      </c>
      <c r="D8" s="4">
        <v>943569</v>
      </c>
      <c r="E8" s="4">
        <v>1130762</v>
      </c>
      <c r="F8" s="4">
        <v>1166385</v>
      </c>
      <c r="G8" s="4">
        <v>1302850</v>
      </c>
      <c r="H8" s="4">
        <v>1403727</v>
      </c>
      <c r="I8" s="4">
        <v>1532578</v>
      </c>
      <c r="J8" s="4">
        <v>1547946</v>
      </c>
      <c r="K8" s="4">
        <v>1613098</v>
      </c>
      <c r="L8" s="4">
        <v>1614291</v>
      </c>
      <c r="M8" s="4">
        <v>1701346</v>
      </c>
      <c r="N8" s="4">
        <v>1753484</v>
      </c>
      <c r="O8" s="4">
        <v>2149278</v>
      </c>
      <c r="P8" s="4">
        <v>2505375</v>
      </c>
    </row>
    <row r="9" spans="2:16" x14ac:dyDescent="0.35">
      <c r="B9" s="2" t="s">
        <v>697</v>
      </c>
      <c r="C9" s="4">
        <v>91384</v>
      </c>
      <c r="D9" s="4">
        <v>96780</v>
      </c>
      <c r="E9" s="4">
        <v>108623</v>
      </c>
      <c r="F9" s="4">
        <v>115164</v>
      </c>
      <c r="G9" s="4">
        <v>125477</v>
      </c>
      <c r="H9" s="4">
        <v>136687</v>
      </c>
      <c r="I9" s="4">
        <v>141864</v>
      </c>
      <c r="J9" s="4">
        <v>137269</v>
      </c>
      <c r="K9" s="4">
        <v>131434</v>
      </c>
      <c r="L9" s="4">
        <v>163454</v>
      </c>
      <c r="M9" s="4">
        <v>174916</v>
      </c>
      <c r="N9" s="4">
        <v>155349</v>
      </c>
      <c r="O9" s="4">
        <v>178626</v>
      </c>
      <c r="P9" s="4">
        <v>194189</v>
      </c>
    </row>
    <row r="10" spans="2:16" x14ac:dyDescent="0.35">
      <c r="B10" s="2" t="s">
        <v>698</v>
      </c>
      <c r="C10" s="4">
        <v>67349</v>
      </c>
      <c r="D10" s="4">
        <v>67183</v>
      </c>
      <c r="E10" s="4">
        <v>75689</v>
      </c>
      <c r="F10" s="4">
        <v>80600</v>
      </c>
      <c r="G10" s="4">
        <v>88975</v>
      </c>
      <c r="H10" s="4">
        <v>98198</v>
      </c>
      <c r="I10" s="4">
        <v>102568</v>
      </c>
      <c r="J10" s="4">
        <v>98563</v>
      </c>
      <c r="K10" s="4">
        <v>91717</v>
      </c>
      <c r="L10" s="4">
        <v>108917</v>
      </c>
      <c r="M10" s="4">
        <v>95884</v>
      </c>
      <c r="N10" s="4">
        <v>85426</v>
      </c>
      <c r="O10" s="4">
        <v>88136</v>
      </c>
      <c r="P10" s="4">
        <v>90468</v>
      </c>
    </row>
    <row r="11" spans="2:16" x14ac:dyDescent="0.35">
      <c r="B11" s="2" t="s">
        <v>699</v>
      </c>
      <c r="C11" s="4">
        <v>23081</v>
      </c>
      <c r="D11" s="4">
        <v>28603</v>
      </c>
      <c r="E11" s="4">
        <v>31891</v>
      </c>
      <c r="F11" s="4">
        <v>33503</v>
      </c>
      <c r="G11" s="4">
        <v>35468</v>
      </c>
      <c r="H11" s="4">
        <v>37363</v>
      </c>
      <c r="I11" s="4">
        <v>38123</v>
      </c>
      <c r="J11" s="4">
        <v>37534</v>
      </c>
      <c r="K11" s="4">
        <v>38513</v>
      </c>
      <c r="L11" s="4">
        <v>53284</v>
      </c>
      <c r="M11" s="4">
        <v>77752</v>
      </c>
      <c r="N11" s="4">
        <v>68627</v>
      </c>
      <c r="O11" s="4">
        <v>89101</v>
      </c>
      <c r="P11" s="4">
        <v>102333</v>
      </c>
    </row>
    <row r="12" spans="2:16" x14ac:dyDescent="0.35">
      <c r="B12" s="2" t="s">
        <v>700</v>
      </c>
      <c r="C12" s="4">
        <v>954</v>
      </c>
      <c r="D12" s="4">
        <v>993</v>
      </c>
      <c r="E12" s="4">
        <v>1043</v>
      </c>
      <c r="F12" s="4">
        <v>1061</v>
      </c>
      <c r="G12" s="4">
        <v>1034</v>
      </c>
      <c r="H12" s="4">
        <v>1126</v>
      </c>
      <c r="I12" s="4">
        <v>1173</v>
      </c>
      <c r="J12" s="4">
        <v>1172</v>
      </c>
      <c r="K12" s="4">
        <v>1204</v>
      </c>
      <c r="L12" s="4">
        <v>1253</v>
      </c>
      <c r="M12" s="4">
        <v>1280</v>
      </c>
      <c r="N12" s="4">
        <v>1296</v>
      </c>
      <c r="O12" s="4">
        <v>1388</v>
      </c>
      <c r="P12" s="4">
        <v>1388</v>
      </c>
    </row>
    <row r="13" spans="2:16" x14ac:dyDescent="0.35">
      <c r="B13" s="2" t="s">
        <v>701</v>
      </c>
      <c r="C13" s="4">
        <v>152962</v>
      </c>
      <c r="D13" s="4">
        <v>219387</v>
      </c>
      <c r="E13" s="4">
        <v>223953</v>
      </c>
      <c r="F13" s="4">
        <v>274700</v>
      </c>
      <c r="G13" s="4">
        <v>298431</v>
      </c>
      <c r="H13" s="4">
        <v>339649</v>
      </c>
      <c r="I13" s="4">
        <v>329088</v>
      </c>
      <c r="J13" s="4">
        <v>311863</v>
      </c>
      <c r="K13" s="4">
        <v>230345</v>
      </c>
      <c r="L13" s="4">
        <v>224956</v>
      </c>
      <c r="M13" s="4">
        <v>210451</v>
      </c>
      <c r="N13" s="4">
        <v>221759</v>
      </c>
      <c r="O13" s="4">
        <v>279897</v>
      </c>
      <c r="P13" s="4">
        <v>368943</v>
      </c>
    </row>
    <row r="14" spans="2:16" x14ac:dyDescent="0.35">
      <c r="B14" s="2" t="s">
        <v>702</v>
      </c>
      <c r="C14" s="4">
        <v>12768</v>
      </c>
      <c r="D14" s="4">
        <v>13862</v>
      </c>
      <c r="E14" s="4">
        <v>15066</v>
      </c>
      <c r="F14" s="4">
        <v>16701</v>
      </c>
      <c r="G14" s="4">
        <v>18127</v>
      </c>
      <c r="H14" s="4">
        <v>20386</v>
      </c>
      <c r="I14" s="4">
        <v>22179</v>
      </c>
      <c r="J14" s="4">
        <v>24053</v>
      </c>
      <c r="K14" s="4">
        <v>24927</v>
      </c>
      <c r="L14" s="4">
        <v>25738</v>
      </c>
      <c r="M14" s="4">
        <v>26481</v>
      </c>
      <c r="N14" s="4">
        <v>27655</v>
      </c>
      <c r="O14" s="4">
        <v>31079</v>
      </c>
      <c r="P14" s="4">
        <v>33750</v>
      </c>
    </row>
    <row r="15" spans="2:16" x14ac:dyDescent="0.35">
      <c r="B15" s="2" t="s">
        <v>648</v>
      </c>
      <c r="C15" s="4">
        <v>950663</v>
      </c>
      <c r="D15" s="4">
        <v>970903</v>
      </c>
      <c r="E15" s="4">
        <v>903206</v>
      </c>
      <c r="F15" s="4">
        <v>937959</v>
      </c>
      <c r="G15" s="4">
        <v>1091780</v>
      </c>
      <c r="H15" s="4">
        <v>1140055</v>
      </c>
      <c r="I15" s="4">
        <v>1190781</v>
      </c>
      <c r="J15" s="4">
        <v>1224406</v>
      </c>
      <c r="K15" s="4">
        <v>1284313</v>
      </c>
      <c r="L15" s="4">
        <v>1346609</v>
      </c>
      <c r="M15" s="4">
        <v>1409292</v>
      </c>
      <c r="N15" s="4">
        <v>1434565</v>
      </c>
      <c r="O15" s="4">
        <v>1541138</v>
      </c>
      <c r="P15" s="4">
        <v>1684966</v>
      </c>
    </row>
    <row r="16" spans="2:16" x14ac:dyDescent="0.35">
      <c r="B16" s="2" t="s">
        <v>703</v>
      </c>
      <c r="C16" s="4">
        <v>945704</v>
      </c>
      <c r="D16" s="4">
        <v>965980</v>
      </c>
      <c r="E16" s="4">
        <v>898796</v>
      </c>
      <c r="F16" s="4">
        <v>933325</v>
      </c>
      <c r="G16" s="4">
        <v>1086626</v>
      </c>
      <c r="H16" s="4">
        <v>1134807</v>
      </c>
      <c r="I16" s="4">
        <v>1185515</v>
      </c>
      <c r="J16" s="4">
        <v>1218876</v>
      </c>
      <c r="K16" s="4">
        <v>1279087</v>
      </c>
      <c r="L16" s="4">
        <v>1341254</v>
      </c>
      <c r="M16" s="4">
        <v>1403914</v>
      </c>
      <c r="N16" s="4">
        <v>1429256</v>
      </c>
      <c r="O16" s="4">
        <v>1535800</v>
      </c>
      <c r="P16" s="4">
        <v>1679207</v>
      </c>
    </row>
    <row r="17" spans="2:16" x14ac:dyDescent="0.35">
      <c r="B17" s="2" t="s">
        <v>704</v>
      </c>
      <c r="C17" s="4">
        <v>4959</v>
      </c>
      <c r="D17" s="4">
        <v>4923</v>
      </c>
      <c r="E17" s="4">
        <v>4410</v>
      </c>
      <c r="F17" s="4">
        <v>4634</v>
      </c>
      <c r="G17" s="4">
        <v>5154</v>
      </c>
      <c r="H17" s="4">
        <v>5248</v>
      </c>
      <c r="I17" s="4">
        <v>5266</v>
      </c>
      <c r="J17" s="4">
        <v>5530</v>
      </c>
      <c r="K17" s="4">
        <v>5226</v>
      </c>
      <c r="L17" s="4">
        <v>5355</v>
      </c>
      <c r="M17" s="4">
        <v>5378</v>
      </c>
      <c r="N17" s="4">
        <v>5309</v>
      </c>
      <c r="O17" s="4">
        <v>5338</v>
      </c>
      <c r="P17" s="4">
        <v>5759</v>
      </c>
    </row>
    <row r="18" spans="2:16" x14ac:dyDescent="0.35">
      <c r="B18" s="2" t="s">
        <v>705</v>
      </c>
      <c r="C18" s="4">
        <v>99591</v>
      </c>
      <c r="D18" s="4">
        <v>136023</v>
      </c>
      <c r="E18" s="4">
        <v>131238</v>
      </c>
      <c r="F18" s="4">
        <v>141596</v>
      </c>
      <c r="G18" s="4">
        <v>243725</v>
      </c>
      <c r="H18" s="4">
        <v>172730</v>
      </c>
      <c r="I18" s="4">
        <v>161211</v>
      </c>
      <c r="J18" s="4">
        <v>140684</v>
      </c>
      <c r="K18" s="4">
        <v>138938</v>
      </c>
      <c r="L18" s="4">
        <v>121687</v>
      </c>
      <c r="M18" s="4">
        <v>109952</v>
      </c>
      <c r="N18" s="4">
        <v>118572</v>
      </c>
      <c r="O18" s="4">
        <v>139884</v>
      </c>
      <c r="P18" s="4">
        <v>114801</v>
      </c>
    </row>
    <row r="19" spans="2:16" x14ac:dyDescent="0.35">
      <c r="B19" s="2" t="s">
        <v>706</v>
      </c>
      <c r="C19" s="4">
        <v>26396</v>
      </c>
      <c r="D19" s="4">
        <v>31718</v>
      </c>
      <c r="E19" s="4">
        <v>27101</v>
      </c>
      <c r="F19" s="4">
        <v>21848</v>
      </c>
      <c r="G19" s="4">
        <v>23493</v>
      </c>
      <c r="H19" s="4">
        <v>24849</v>
      </c>
      <c r="I19" s="4">
        <v>28119</v>
      </c>
      <c r="J19" s="4">
        <v>29609</v>
      </c>
      <c r="K19" s="4">
        <v>29157</v>
      </c>
      <c r="L19" s="4">
        <v>34753</v>
      </c>
      <c r="M19" s="4">
        <v>37792</v>
      </c>
      <c r="N19" s="4">
        <v>26108</v>
      </c>
      <c r="O19" s="4">
        <v>21591</v>
      </c>
      <c r="P19" s="4">
        <v>21830</v>
      </c>
    </row>
    <row r="20" spans="2:16" x14ac:dyDescent="0.35">
      <c r="B20" s="2" t="s">
        <v>707</v>
      </c>
      <c r="C20" s="4">
        <v>66175</v>
      </c>
      <c r="D20" s="4">
        <v>96300</v>
      </c>
      <c r="E20" s="4">
        <v>94206</v>
      </c>
      <c r="F20" s="4">
        <v>109516</v>
      </c>
      <c r="G20" s="4">
        <v>210918</v>
      </c>
      <c r="H20" s="4">
        <v>137605</v>
      </c>
      <c r="I20" s="4">
        <v>126415</v>
      </c>
      <c r="J20" s="4">
        <v>106272</v>
      </c>
      <c r="K20" s="4">
        <v>103712</v>
      </c>
      <c r="L20" s="4">
        <v>79023</v>
      </c>
      <c r="M20" s="4">
        <v>63823</v>
      </c>
      <c r="N20" s="4">
        <v>87046</v>
      </c>
      <c r="O20" s="4">
        <v>109211</v>
      </c>
      <c r="P20" s="4">
        <v>76143</v>
      </c>
    </row>
    <row r="21" spans="2:16" x14ac:dyDescent="0.35">
      <c r="B21" s="2" t="s">
        <v>708</v>
      </c>
      <c r="C21" s="4">
        <v>47430</v>
      </c>
      <c r="D21" s="4">
        <v>79268</v>
      </c>
      <c r="E21" s="4">
        <v>75424</v>
      </c>
      <c r="F21" s="4">
        <v>88418</v>
      </c>
      <c r="G21" s="4">
        <v>79633</v>
      </c>
      <c r="H21" s="4">
        <v>96902</v>
      </c>
      <c r="I21" s="4">
        <v>110443</v>
      </c>
      <c r="J21" s="4">
        <v>91467</v>
      </c>
      <c r="K21" s="4">
        <v>80560</v>
      </c>
      <c r="L21" s="4">
        <v>65319</v>
      </c>
      <c r="M21" s="4">
        <v>54893</v>
      </c>
      <c r="N21" s="4">
        <v>86890</v>
      </c>
      <c r="O21" s="4">
        <v>109025</v>
      </c>
      <c r="P21" s="4">
        <v>76000</v>
      </c>
    </row>
    <row r="22" spans="2:16" x14ac:dyDescent="0.35">
      <c r="B22" s="2" t="s">
        <v>700</v>
      </c>
      <c r="C22" s="4">
        <v>18745</v>
      </c>
      <c r="D22" s="4">
        <v>17032</v>
      </c>
      <c r="E22" s="4">
        <v>18782</v>
      </c>
      <c r="F22" s="4">
        <v>21098</v>
      </c>
      <c r="G22" s="4">
        <v>131285</v>
      </c>
      <c r="H22" s="4">
        <v>40703</v>
      </c>
      <c r="I22" s="4">
        <v>15972</v>
      </c>
      <c r="J22" s="4">
        <v>14805</v>
      </c>
      <c r="K22" s="4">
        <v>23152</v>
      </c>
      <c r="L22" s="4">
        <v>13704</v>
      </c>
      <c r="M22" s="4">
        <v>8930</v>
      </c>
      <c r="N22" s="4">
        <v>156</v>
      </c>
      <c r="O22" s="4">
        <v>186</v>
      </c>
      <c r="P22" s="4">
        <v>143</v>
      </c>
    </row>
    <row r="23" spans="2:16" x14ac:dyDescent="0.35">
      <c r="B23" s="2" t="s">
        <v>709</v>
      </c>
      <c r="C23" s="4">
        <v>7020</v>
      </c>
      <c r="D23" s="4">
        <v>8005</v>
      </c>
      <c r="E23" s="4">
        <v>9931</v>
      </c>
      <c r="F23" s="4">
        <v>10232</v>
      </c>
      <c r="G23" s="4">
        <v>9314</v>
      </c>
      <c r="H23" s="4">
        <v>10276</v>
      </c>
      <c r="I23" s="4">
        <v>6676</v>
      </c>
      <c r="J23" s="4">
        <v>4803</v>
      </c>
      <c r="K23" s="4">
        <v>6069</v>
      </c>
      <c r="L23" s="4">
        <v>7910</v>
      </c>
      <c r="M23" s="4">
        <v>8336</v>
      </c>
      <c r="N23" s="4">
        <v>5418</v>
      </c>
      <c r="O23" s="4">
        <v>9083</v>
      </c>
      <c r="P23" s="4">
        <v>16828</v>
      </c>
    </row>
    <row r="24" spans="2:16" x14ac:dyDescent="0.35">
      <c r="B24" s="2" t="s">
        <v>710</v>
      </c>
      <c r="C24" s="4">
        <v>65684</v>
      </c>
      <c r="D24" s="4">
        <v>66602</v>
      </c>
      <c r="E24" s="4">
        <v>65500</v>
      </c>
      <c r="F24" s="4">
        <v>54322</v>
      </c>
      <c r="G24" s="4">
        <v>63731</v>
      </c>
      <c r="H24" s="4">
        <v>85805</v>
      </c>
      <c r="I24" s="4">
        <v>71617</v>
      </c>
      <c r="J24" s="4">
        <v>73762</v>
      </c>
      <c r="K24" s="4">
        <v>77612</v>
      </c>
      <c r="L24" s="4">
        <v>83041</v>
      </c>
      <c r="M24" s="4">
        <v>70449</v>
      </c>
      <c r="N24" s="4">
        <v>58538</v>
      </c>
      <c r="O24" s="4">
        <v>60364</v>
      </c>
      <c r="P24" s="4">
        <v>66654</v>
      </c>
    </row>
    <row r="25" spans="2:16" x14ac:dyDescent="0.35">
      <c r="B25" s="2" t="s">
        <v>711</v>
      </c>
      <c r="C25" s="4">
        <v>42919</v>
      </c>
      <c r="D25" s="4">
        <v>42226</v>
      </c>
      <c r="E25" s="4">
        <v>43440</v>
      </c>
      <c r="F25" s="4">
        <v>26795</v>
      </c>
      <c r="G25" s="4">
        <v>36343</v>
      </c>
      <c r="H25" s="4">
        <v>53586</v>
      </c>
      <c r="I25" s="4">
        <v>42610</v>
      </c>
      <c r="J25" s="4">
        <v>45011</v>
      </c>
      <c r="K25" s="4">
        <v>43113</v>
      </c>
      <c r="L25" s="4">
        <v>46914</v>
      </c>
      <c r="M25" s="4">
        <v>37591</v>
      </c>
      <c r="N25" s="4">
        <v>38846</v>
      </c>
      <c r="O25" s="4">
        <v>38139</v>
      </c>
      <c r="P25" s="4">
        <v>43101</v>
      </c>
    </row>
    <row r="26" spans="2:16" x14ac:dyDescent="0.35">
      <c r="B26" s="2" t="s">
        <v>703</v>
      </c>
      <c r="C26" s="4">
        <v>19523</v>
      </c>
      <c r="D26" s="4">
        <v>20622</v>
      </c>
      <c r="E26" s="4">
        <v>20014</v>
      </c>
      <c r="F26" s="4">
        <v>21024</v>
      </c>
      <c r="G26" s="4">
        <v>19638</v>
      </c>
      <c r="H26" s="4">
        <v>20252</v>
      </c>
      <c r="I26" s="4">
        <v>22441</v>
      </c>
      <c r="J26" s="4">
        <v>24357</v>
      </c>
      <c r="K26" s="4">
        <v>24780</v>
      </c>
      <c r="L26" s="4">
        <v>26116</v>
      </c>
      <c r="M26" s="4">
        <v>25843</v>
      </c>
      <c r="N26" s="4">
        <v>16633</v>
      </c>
      <c r="O26" s="4">
        <v>18236</v>
      </c>
      <c r="P26" s="4">
        <v>17872</v>
      </c>
    </row>
    <row r="27" spans="2:16" x14ac:dyDescent="0.35">
      <c r="B27" s="2" t="s">
        <v>712</v>
      </c>
      <c r="C27" s="4">
        <v>3242</v>
      </c>
      <c r="D27" s="4">
        <v>3754</v>
      </c>
      <c r="E27" s="4">
        <v>2046</v>
      </c>
      <c r="F27" s="4">
        <v>6503</v>
      </c>
      <c r="G27" s="4">
        <v>7750</v>
      </c>
      <c r="H27" s="4">
        <v>11967</v>
      </c>
      <c r="I27" s="4">
        <v>6566</v>
      </c>
      <c r="J27" s="4">
        <v>4394</v>
      </c>
      <c r="K27" s="4">
        <v>9718</v>
      </c>
      <c r="L27" s="4">
        <v>10011</v>
      </c>
      <c r="M27" s="4">
        <v>7015</v>
      </c>
      <c r="N27" s="4">
        <v>3059</v>
      </c>
      <c r="O27" s="4">
        <v>3989</v>
      </c>
      <c r="P27" s="4">
        <v>5681</v>
      </c>
    </row>
    <row r="28" spans="2:16" x14ac:dyDescent="0.35">
      <c r="B28" s="2" t="s">
        <v>713</v>
      </c>
      <c r="C28" s="4">
        <v>2462</v>
      </c>
      <c r="D28" s="4">
        <v>-862</v>
      </c>
      <c r="E28" s="4">
        <v>-4737</v>
      </c>
      <c r="F28" s="4">
        <v>-6010</v>
      </c>
      <c r="G28" s="4">
        <v>-7802</v>
      </c>
      <c r="H28" s="4">
        <v>-4624</v>
      </c>
      <c r="I28" s="4">
        <v>-933</v>
      </c>
      <c r="J28" s="4">
        <v>689</v>
      </c>
      <c r="K28" s="4">
        <v>3080</v>
      </c>
      <c r="L28" s="4">
        <v>3319</v>
      </c>
      <c r="M28" s="4">
        <v>1295</v>
      </c>
      <c r="N28" s="4">
        <v>5275</v>
      </c>
      <c r="O28" s="4">
        <v>8376</v>
      </c>
      <c r="P28" s="4">
        <v>7626</v>
      </c>
    </row>
    <row r="29" spans="2:16" x14ac:dyDescent="0.35">
      <c r="B29" s="2" t="s">
        <v>714</v>
      </c>
      <c r="C29" s="4">
        <v>3485240</v>
      </c>
      <c r="D29" s="4">
        <v>3764625</v>
      </c>
      <c r="E29" s="4">
        <v>3807750</v>
      </c>
      <c r="F29" s="4">
        <v>3773503</v>
      </c>
      <c r="G29" s="4">
        <v>3770255</v>
      </c>
      <c r="H29" s="4">
        <v>3888437</v>
      </c>
      <c r="I29" s="4">
        <v>4005825</v>
      </c>
      <c r="J29" s="4">
        <v>4127974</v>
      </c>
      <c r="K29" s="4">
        <v>4240545</v>
      </c>
      <c r="L29" s="4">
        <v>4489479</v>
      </c>
      <c r="M29" s="4">
        <v>4748567</v>
      </c>
      <c r="N29" s="4">
        <v>6669637</v>
      </c>
      <c r="O29" s="4">
        <v>7128557</v>
      </c>
      <c r="P29" s="4">
        <v>6038511</v>
      </c>
    </row>
    <row r="30" spans="2:16" x14ac:dyDescent="0.35">
      <c r="B30" s="2" t="s">
        <v>715</v>
      </c>
      <c r="C30" s="4">
        <v>938164</v>
      </c>
      <c r="D30" s="4">
        <v>1002908</v>
      </c>
      <c r="E30" s="4">
        <v>1004097</v>
      </c>
      <c r="F30" s="4">
        <v>999721</v>
      </c>
      <c r="G30" s="4">
        <v>956428</v>
      </c>
      <c r="H30" s="4">
        <v>950287</v>
      </c>
      <c r="I30" s="4">
        <v>951747</v>
      </c>
      <c r="J30" s="4">
        <v>962316</v>
      </c>
      <c r="K30" s="4">
        <v>978501</v>
      </c>
      <c r="L30" s="4">
        <v>1034417</v>
      </c>
      <c r="M30" s="4">
        <v>1089715</v>
      </c>
      <c r="N30" s="4">
        <v>1158615</v>
      </c>
      <c r="O30" s="4">
        <v>1216364</v>
      </c>
      <c r="P30" s="4">
        <v>1228997</v>
      </c>
    </row>
    <row r="31" spans="2:16" x14ac:dyDescent="0.35">
      <c r="B31" s="2" t="s">
        <v>716</v>
      </c>
      <c r="C31" s="4">
        <v>2135603</v>
      </c>
      <c r="D31" s="4">
        <v>2325988</v>
      </c>
      <c r="E31" s="4">
        <v>2318749</v>
      </c>
      <c r="F31" s="4">
        <v>2293579</v>
      </c>
      <c r="G31" s="4">
        <v>2338257</v>
      </c>
      <c r="H31" s="4">
        <v>2441462</v>
      </c>
      <c r="I31" s="4">
        <v>2568118</v>
      </c>
      <c r="J31" s="4">
        <v>2650141</v>
      </c>
      <c r="K31" s="4">
        <v>2726028</v>
      </c>
      <c r="L31" s="4">
        <v>2851689</v>
      </c>
      <c r="M31" s="4">
        <v>3009131</v>
      </c>
      <c r="N31" s="4">
        <v>4333402</v>
      </c>
      <c r="O31" s="4">
        <v>4857998</v>
      </c>
      <c r="P31" s="4">
        <v>3957045</v>
      </c>
    </row>
    <row r="32" spans="2:16" x14ac:dyDescent="0.35">
      <c r="B32" s="2" t="s">
        <v>717</v>
      </c>
      <c r="C32" s="4">
        <v>1630544</v>
      </c>
      <c r="D32" s="4">
        <v>1773973</v>
      </c>
      <c r="E32" s="4">
        <v>1796502</v>
      </c>
      <c r="F32" s="4">
        <v>1799785</v>
      </c>
      <c r="G32" s="4">
        <v>1840391</v>
      </c>
      <c r="H32" s="4">
        <v>1900595</v>
      </c>
      <c r="I32" s="4">
        <v>1990268</v>
      </c>
      <c r="J32" s="4">
        <v>2045156</v>
      </c>
      <c r="K32" s="4">
        <v>2119581</v>
      </c>
      <c r="L32" s="4">
        <v>2217625</v>
      </c>
      <c r="M32" s="4">
        <v>2349785</v>
      </c>
      <c r="N32" s="4">
        <v>3401061</v>
      </c>
      <c r="O32" s="4">
        <v>3686019</v>
      </c>
      <c r="P32" s="4">
        <v>2919378</v>
      </c>
    </row>
    <row r="33" spans="2:16" x14ac:dyDescent="0.35">
      <c r="B33" s="2" t="s">
        <v>718</v>
      </c>
      <c r="C33" s="4">
        <v>1614549</v>
      </c>
      <c r="D33" s="4">
        <v>1757485</v>
      </c>
      <c r="E33" s="4">
        <v>1779454</v>
      </c>
      <c r="F33" s="4">
        <v>1781834</v>
      </c>
      <c r="G33" s="4">
        <v>1821528</v>
      </c>
      <c r="H33" s="4">
        <v>1881083</v>
      </c>
      <c r="I33" s="4">
        <v>1969866</v>
      </c>
      <c r="J33" s="4">
        <v>2024223</v>
      </c>
      <c r="K33" s="4">
        <v>2097779</v>
      </c>
      <c r="L33" s="4">
        <v>2194853</v>
      </c>
      <c r="M33" s="4">
        <v>2325799</v>
      </c>
      <c r="N33" s="4">
        <v>3367023</v>
      </c>
      <c r="O33" s="4">
        <v>3653474</v>
      </c>
      <c r="P33" s="4">
        <v>2890624</v>
      </c>
    </row>
    <row r="34" spans="2:16" x14ac:dyDescent="0.35">
      <c r="B34" s="2" t="s">
        <v>719</v>
      </c>
      <c r="C34" s="4">
        <v>15995</v>
      </c>
      <c r="D34" s="4">
        <v>16489</v>
      </c>
      <c r="E34" s="4">
        <v>17048</v>
      </c>
      <c r="F34" s="4">
        <v>17951</v>
      </c>
      <c r="G34" s="4">
        <v>18863</v>
      </c>
      <c r="H34" s="4">
        <v>19512</v>
      </c>
      <c r="I34" s="4">
        <v>20402</v>
      </c>
      <c r="J34" s="4">
        <v>20933</v>
      </c>
      <c r="K34" s="4">
        <v>21802</v>
      </c>
      <c r="L34" s="4">
        <v>22772</v>
      </c>
      <c r="M34" s="4">
        <v>23986</v>
      </c>
      <c r="N34" s="4">
        <v>34038</v>
      </c>
      <c r="O34" s="4">
        <v>32545</v>
      </c>
      <c r="P34" s="4">
        <v>28754</v>
      </c>
    </row>
    <row r="35" spans="2:16" x14ac:dyDescent="0.35">
      <c r="B35" s="2" t="s">
        <v>720</v>
      </c>
      <c r="C35" s="4">
        <v>505059</v>
      </c>
      <c r="D35" s="4">
        <v>552014</v>
      </c>
      <c r="E35" s="4">
        <v>522247</v>
      </c>
      <c r="F35" s="4">
        <v>493794</v>
      </c>
      <c r="G35" s="4">
        <v>497866</v>
      </c>
      <c r="H35" s="4">
        <v>540867</v>
      </c>
      <c r="I35" s="4">
        <v>577850</v>
      </c>
      <c r="J35" s="4">
        <v>604985</v>
      </c>
      <c r="K35" s="4">
        <v>606448</v>
      </c>
      <c r="L35" s="4">
        <v>634064</v>
      </c>
      <c r="M35" s="4">
        <v>659346</v>
      </c>
      <c r="N35" s="4">
        <v>932342</v>
      </c>
      <c r="O35" s="4">
        <v>1171979</v>
      </c>
      <c r="P35" s="4">
        <v>1037667</v>
      </c>
    </row>
    <row r="36" spans="2:16" x14ac:dyDescent="0.35">
      <c r="B36" s="2" t="s">
        <v>721</v>
      </c>
      <c r="C36" s="4">
        <v>458120</v>
      </c>
      <c r="D36" s="4">
        <v>505245</v>
      </c>
      <c r="E36" s="4">
        <v>472487</v>
      </c>
      <c r="F36" s="4">
        <v>444446</v>
      </c>
      <c r="G36" s="4">
        <v>450133</v>
      </c>
      <c r="H36" s="4">
        <v>495035</v>
      </c>
      <c r="I36" s="4">
        <v>533072</v>
      </c>
      <c r="J36" s="4">
        <v>556737</v>
      </c>
      <c r="K36" s="4">
        <v>560412</v>
      </c>
      <c r="L36" s="4">
        <v>582569</v>
      </c>
      <c r="M36" s="4">
        <v>608989</v>
      </c>
      <c r="N36" s="4">
        <v>878765</v>
      </c>
      <c r="O36" s="4">
        <v>1110273</v>
      </c>
      <c r="P36" s="4">
        <v>948917</v>
      </c>
    </row>
    <row r="37" spans="2:16" x14ac:dyDescent="0.35">
      <c r="B37" s="2" t="s">
        <v>722</v>
      </c>
      <c r="C37" s="4">
        <v>46940</v>
      </c>
      <c r="D37" s="4">
        <v>46769</v>
      </c>
      <c r="E37" s="4">
        <v>49759</v>
      </c>
      <c r="F37" s="4">
        <v>49348</v>
      </c>
      <c r="G37" s="4">
        <v>47733</v>
      </c>
      <c r="H37" s="4">
        <v>45832</v>
      </c>
      <c r="I37" s="4">
        <v>44778</v>
      </c>
      <c r="J37" s="4">
        <v>48248</v>
      </c>
      <c r="K37" s="4">
        <v>46036</v>
      </c>
      <c r="L37" s="4">
        <v>51495</v>
      </c>
      <c r="M37" s="4">
        <v>50357</v>
      </c>
      <c r="N37" s="4">
        <v>53576</v>
      </c>
      <c r="O37" s="4">
        <v>61706</v>
      </c>
      <c r="P37" s="4">
        <v>88749</v>
      </c>
    </row>
    <row r="38" spans="2:16" x14ac:dyDescent="0.35">
      <c r="B38" s="2" t="s">
        <v>723</v>
      </c>
      <c r="C38" s="4">
        <v>354533</v>
      </c>
      <c r="D38" s="4">
        <v>381487</v>
      </c>
      <c r="E38" s="4">
        <v>425442</v>
      </c>
      <c r="F38" s="4">
        <v>422624</v>
      </c>
      <c r="G38" s="4">
        <v>416326</v>
      </c>
      <c r="H38" s="4">
        <v>439092</v>
      </c>
      <c r="I38" s="4">
        <v>429282</v>
      </c>
      <c r="J38" s="4">
        <v>454304</v>
      </c>
      <c r="K38" s="4">
        <v>476695</v>
      </c>
      <c r="L38" s="4">
        <v>540629</v>
      </c>
      <c r="M38" s="4">
        <v>577364</v>
      </c>
      <c r="N38" s="4">
        <v>521387</v>
      </c>
      <c r="O38" s="4">
        <v>574570</v>
      </c>
      <c r="P38" s="4">
        <v>725688</v>
      </c>
    </row>
    <row r="39" spans="2:16" x14ac:dyDescent="0.35">
      <c r="B39" s="2" t="s">
        <v>724</v>
      </c>
      <c r="C39" s="4">
        <v>265874</v>
      </c>
      <c r="D39" s="4">
        <v>286867</v>
      </c>
      <c r="E39" s="4">
        <v>320696</v>
      </c>
      <c r="F39" s="4">
        <v>320626</v>
      </c>
      <c r="G39" s="4">
        <v>316372</v>
      </c>
      <c r="H39" s="4">
        <v>338523</v>
      </c>
      <c r="I39" s="4">
        <v>334313</v>
      </c>
      <c r="J39" s="4">
        <v>348802</v>
      </c>
      <c r="K39" s="4">
        <v>360143</v>
      </c>
      <c r="L39" s="4">
        <v>403221</v>
      </c>
      <c r="M39" s="4">
        <v>431533</v>
      </c>
      <c r="N39" s="4">
        <v>399899</v>
      </c>
      <c r="O39" s="4">
        <v>431375</v>
      </c>
      <c r="P39" s="4">
        <v>548777</v>
      </c>
    </row>
    <row r="40" spans="2:16" x14ac:dyDescent="0.35">
      <c r="B40" s="2" t="s">
        <v>725</v>
      </c>
      <c r="C40" s="4">
        <v>88659</v>
      </c>
      <c r="D40" s="4">
        <v>94620</v>
      </c>
      <c r="E40" s="4">
        <v>104746</v>
      </c>
      <c r="F40" s="4">
        <v>101998</v>
      </c>
      <c r="G40" s="4">
        <v>99954</v>
      </c>
      <c r="H40" s="4">
        <v>100570</v>
      </c>
      <c r="I40" s="4">
        <v>94970</v>
      </c>
      <c r="J40" s="4">
        <v>105502</v>
      </c>
      <c r="K40" s="4">
        <v>116552</v>
      </c>
      <c r="L40" s="4">
        <v>137409</v>
      </c>
      <c r="M40" s="4">
        <v>145831</v>
      </c>
      <c r="N40" s="4">
        <v>121488</v>
      </c>
      <c r="O40" s="4">
        <v>143196</v>
      </c>
      <c r="P40" s="4">
        <v>176910</v>
      </c>
    </row>
    <row r="41" spans="2:16" x14ac:dyDescent="0.35">
      <c r="B41" s="2" t="s">
        <v>726</v>
      </c>
      <c r="C41" s="4">
        <v>56940</v>
      </c>
      <c r="D41" s="4">
        <v>54242</v>
      </c>
      <c r="E41" s="4">
        <v>59462</v>
      </c>
      <c r="F41" s="4">
        <v>57579</v>
      </c>
      <c r="G41" s="4">
        <v>59244</v>
      </c>
      <c r="H41" s="4">
        <v>57595</v>
      </c>
      <c r="I41" s="4">
        <v>56678</v>
      </c>
      <c r="J41" s="4">
        <v>61214</v>
      </c>
      <c r="K41" s="4">
        <v>59320</v>
      </c>
      <c r="L41" s="4">
        <v>62743</v>
      </c>
      <c r="M41" s="4">
        <v>72357</v>
      </c>
      <c r="N41" s="4">
        <v>656233</v>
      </c>
      <c r="O41" s="4">
        <v>479625</v>
      </c>
      <c r="P41" s="4">
        <v>126781</v>
      </c>
    </row>
    <row r="42" spans="2:16" x14ac:dyDescent="0.35">
      <c r="B42" s="2" t="s">
        <v>727</v>
      </c>
      <c r="C42" s="4">
        <v>-1243174</v>
      </c>
      <c r="D42" s="4">
        <v>-1318361</v>
      </c>
      <c r="E42" s="4">
        <v>-1234140</v>
      </c>
      <c r="F42" s="4">
        <v>-1072686</v>
      </c>
      <c r="G42" s="4">
        <v>-633936</v>
      </c>
      <c r="H42" s="4">
        <v>-594021</v>
      </c>
      <c r="I42" s="4">
        <v>-557440</v>
      </c>
      <c r="J42" s="4">
        <v>-667302</v>
      </c>
      <c r="K42" s="4">
        <v>-736797</v>
      </c>
      <c r="L42" s="4">
        <v>-906384</v>
      </c>
      <c r="M42" s="4">
        <v>-1044384</v>
      </c>
      <c r="N42" s="4">
        <v>-2894440</v>
      </c>
      <c r="O42" s="4">
        <v>-2739915</v>
      </c>
      <c r="P42" s="4">
        <v>-1062206</v>
      </c>
    </row>
    <row r="43" spans="2:16" x14ac:dyDescent="0.35">
      <c r="B43" s="2" t="s">
        <v>728</v>
      </c>
      <c r="C43" s="4">
        <v>-251711</v>
      </c>
      <c r="D43" s="4">
        <v>-290610</v>
      </c>
      <c r="E43" s="4">
        <v>-271484</v>
      </c>
      <c r="F43" s="4">
        <v>-287674</v>
      </c>
      <c r="G43" s="4">
        <v>-288638</v>
      </c>
      <c r="H43" s="4">
        <v>-287246</v>
      </c>
      <c r="I43" s="4">
        <v>-310863</v>
      </c>
      <c r="J43" s="4">
        <v>-330365</v>
      </c>
      <c r="K43" s="4">
        <v>-329064</v>
      </c>
      <c r="L43" s="4">
        <v>-355118</v>
      </c>
      <c r="M43" s="4">
        <v>-407618</v>
      </c>
      <c r="N43" s="4">
        <v>-978635</v>
      </c>
      <c r="O43" s="4">
        <v>-770512</v>
      </c>
      <c r="P43" s="4">
        <v>-471294</v>
      </c>
    </row>
    <row r="44" spans="2:16" x14ac:dyDescent="0.35">
      <c r="B44" s="2" t="s">
        <v>729</v>
      </c>
      <c r="C44" s="4">
        <v>-991463</v>
      </c>
      <c r="D44" s="4">
        <v>-1027751</v>
      </c>
      <c r="E44" s="4">
        <v>-962657</v>
      </c>
      <c r="F44" s="4">
        <v>-785012</v>
      </c>
      <c r="G44" s="4">
        <v>-345298</v>
      </c>
      <c r="H44" s="4">
        <v>-306774</v>
      </c>
      <c r="I44" s="4">
        <v>-246576</v>
      </c>
      <c r="J44" s="4">
        <v>-336937</v>
      </c>
      <c r="K44" s="4">
        <v>-407733</v>
      </c>
      <c r="L44" s="4">
        <v>-551267</v>
      </c>
      <c r="M44" s="4">
        <v>-636766</v>
      </c>
      <c r="N44" s="4">
        <v>-1915806</v>
      </c>
      <c r="O44" s="4">
        <v>-1969404</v>
      </c>
      <c r="P44" s="4">
        <v>-590912</v>
      </c>
    </row>
    <row r="45" spans="2:16" x14ac:dyDescent="0.35">
      <c r="B45" s="2" t="s">
        <v>730</v>
      </c>
      <c r="C45" s="4"/>
      <c r="D45" s="4"/>
      <c r="E45" s="4"/>
      <c r="F45" s="4"/>
      <c r="G45" s="4"/>
      <c r="H45" s="4"/>
      <c r="I45" s="4"/>
      <c r="J45" s="4"/>
      <c r="K45" s="4"/>
      <c r="L45" s="4"/>
      <c r="M45" s="4"/>
      <c r="N45" s="4"/>
      <c r="O45" s="4"/>
      <c r="P45" s="4"/>
    </row>
    <row r="46" spans="2:16" x14ac:dyDescent="0.35">
      <c r="B46" s="2" t="s">
        <v>731</v>
      </c>
      <c r="C46" s="4">
        <v>2262676</v>
      </c>
      <c r="D46" s="4">
        <v>2461343</v>
      </c>
      <c r="E46" s="4">
        <v>2583254</v>
      </c>
      <c r="F46" s="4">
        <v>2714891</v>
      </c>
      <c r="G46" s="4">
        <v>3157191</v>
      </c>
      <c r="H46" s="4">
        <v>3313209</v>
      </c>
      <c r="I46" s="4">
        <v>3468577</v>
      </c>
      <c r="J46" s="4">
        <v>3480723</v>
      </c>
      <c r="K46" s="4">
        <v>3760098</v>
      </c>
      <c r="L46" s="4">
        <v>3605752</v>
      </c>
      <c r="M46" s="4">
        <v>3720393</v>
      </c>
      <c r="N46" s="4">
        <v>3794280</v>
      </c>
      <c r="O46" s="4">
        <v>4415984</v>
      </c>
      <c r="P46" s="4">
        <v>5009135</v>
      </c>
    </row>
    <row r="47" spans="2:16" x14ac:dyDescent="0.35">
      <c r="B47" s="2" t="s">
        <v>694</v>
      </c>
      <c r="C47" s="4">
        <v>2242065</v>
      </c>
      <c r="D47" s="4">
        <v>2446264</v>
      </c>
      <c r="E47" s="4">
        <v>2573610</v>
      </c>
      <c r="F47" s="4">
        <v>2700817</v>
      </c>
      <c r="G47" s="4">
        <v>3136319</v>
      </c>
      <c r="H47" s="4">
        <v>3294416</v>
      </c>
      <c r="I47" s="4">
        <v>3448386</v>
      </c>
      <c r="J47" s="4">
        <v>3460672</v>
      </c>
      <c r="K47" s="4">
        <v>3503747</v>
      </c>
      <c r="L47" s="4">
        <v>3583094</v>
      </c>
      <c r="M47" s="4">
        <v>3704182</v>
      </c>
      <c r="N47" s="4">
        <v>3775197</v>
      </c>
      <c r="O47" s="4">
        <v>4388642</v>
      </c>
      <c r="P47" s="4">
        <v>4976305</v>
      </c>
    </row>
    <row r="48" spans="2:16" x14ac:dyDescent="0.35">
      <c r="B48" s="2" t="s">
        <v>732</v>
      </c>
      <c r="C48" s="4">
        <v>20611</v>
      </c>
      <c r="D48" s="4">
        <v>15079</v>
      </c>
      <c r="E48" s="4">
        <v>9644</v>
      </c>
      <c r="F48" s="4">
        <v>14074</v>
      </c>
      <c r="G48" s="4">
        <v>20872</v>
      </c>
      <c r="H48" s="4">
        <v>18793</v>
      </c>
      <c r="I48" s="4">
        <v>20191</v>
      </c>
      <c r="J48" s="4">
        <v>20051</v>
      </c>
      <c r="K48" s="4">
        <v>256350</v>
      </c>
      <c r="L48" s="4">
        <v>22658</v>
      </c>
      <c r="M48" s="4">
        <v>16211</v>
      </c>
      <c r="N48" s="4">
        <v>19083</v>
      </c>
      <c r="O48" s="4">
        <v>27342</v>
      </c>
      <c r="P48" s="4">
        <v>32830</v>
      </c>
    </row>
    <row r="49" spans="2:16" x14ac:dyDescent="0.35">
      <c r="B49" s="2" t="s">
        <v>733</v>
      </c>
      <c r="C49" s="4">
        <v>3737987</v>
      </c>
      <c r="D49" s="4">
        <v>3965309</v>
      </c>
      <c r="E49" s="4">
        <v>3978839</v>
      </c>
      <c r="F49" s="4">
        <v>3902144</v>
      </c>
      <c r="G49" s="4">
        <v>3857798</v>
      </c>
      <c r="H49" s="4">
        <v>3965010</v>
      </c>
      <c r="I49" s="4">
        <v>4053659</v>
      </c>
      <c r="J49" s="4">
        <v>4200989</v>
      </c>
      <c r="K49" s="4">
        <v>4337514</v>
      </c>
      <c r="L49" s="4">
        <v>4592927</v>
      </c>
      <c r="M49" s="4">
        <v>4875133</v>
      </c>
      <c r="N49" s="4">
        <v>6814658</v>
      </c>
      <c r="O49" s="4">
        <v>7320009</v>
      </c>
      <c r="P49" s="4">
        <v>6202752</v>
      </c>
    </row>
    <row r="50" spans="2:16" x14ac:dyDescent="0.35">
      <c r="B50" s="2" t="s">
        <v>714</v>
      </c>
      <c r="C50" s="4">
        <v>3485240</v>
      </c>
      <c r="D50" s="4">
        <v>3764625</v>
      </c>
      <c r="E50" s="4">
        <v>3807750</v>
      </c>
      <c r="F50" s="4">
        <v>3773503</v>
      </c>
      <c r="G50" s="4">
        <v>3770255</v>
      </c>
      <c r="H50" s="4">
        <v>3888437</v>
      </c>
      <c r="I50" s="4">
        <v>4005825</v>
      </c>
      <c r="J50" s="4">
        <v>4127974</v>
      </c>
      <c r="K50" s="4">
        <v>4240545</v>
      </c>
      <c r="L50" s="4">
        <v>4489479</v>
      </c>
      <c r="M50" s="4">
        <v>4748567</v>
      </c>
      <c r="N50" s="4">
        <v>6669637</v>
      </c>
      <c r="O50" s="4">
        <v>7128557</v>
      </c>
      <c r="P50" s="4">
        <v>6038511</v>
      </c>
    </row>
    <row r="51" spans="2:16" x14ac:dyDescent="0.35">
      <c r="B51" s="2" t="s">
        <v>734</v>
      </c>
      <c r="C51" s="4">
        <v>282621</v>
      </c>
      <c r="D51" s="4">
        <v>297249</v>
      </c>
      <c r="E51" s="4">
        <v>295665</v>
      </c>
      <c r="F51" s="4">
        <v>287289</v>
      </c>
      <c r="G51" s="4">
        <v>270956</v>
      </c>
      <c r="H51" s="4">
        <v>266785</v>
      </c>
      <c r="I51" s="4">
        <v>271030</v>
      </c>
      <c r="J51" s="4">
        <v>275037</v>
      </c>
      <c r="K51" s="4">
        <v>287553</v>
      </c>
      <c r="L51" s="4">
        <v>311878</v>
      </c>
      <c r="M51" s="4">
        <v>332452</v>
      </c>
      <c r="N51" s="4">
        <v>364801</v>
      </c>
      <c r="O51" s="4">
        <v>377956</v>
      </c>
      <c r="P51" s="4">
        <v>406513</v>
      </c>
    </row>
    <row r="52" spans="2:16" x14ac:dyDescent="0.35">
      <c r="B52" s="2" t="s">
        <v>735</v>
      </c>
      <c r="C52" s="4">
        <v>212632</v>
      </c>
      <c r="D52" s="4">
        <v>148124</v>
      </c>
      <c r="E52" s="4">
        <v>131247</v>
      </c>
      <c r="F52" s="4">
        <v>104953</v>
      </c>
      <c r="G52" s="4">
        <v>85145</v>
      </c>
      <c r="H52" s="4">
        <v>83670</v>
      </c>
      <c r="I52" s="4">
        <v>80138</v>
      </c>
      <c r="J52" s="4">
        <v>80568</v>
      </c>
      <c r="K52" s="4">
        <v>91826</v>
      </c>
      <c r="L52" s="4">
        <v>83304</v>
      </c>
      <c r="M52" s="4">
        <v>95187</v>
      </c>
      <c r="N52" s="4">
        <v>92509</v>
      </c>
      <c r="O52" s="4">
        <v>148553</v>
      </c>
      <c r="P52" s="4">
        <v>216650</v>
      </c>
    </row>
    <row r="53" spans="2:16" x14ac:dyDescent="0.35">
      <c r="B53" s="2" t="s">
        <v>736</v>
      </c>
      <c r="C53" s="4">
        <v>-8866</v>
      </c>
      <c r="D53" s="4">
        <v>-950</v>
      </c>
      <c r="E53" s="4">
        <v>-885</v>
      </c>
      <c r="F53" s="4">
        <v>-1964</v>
      </c>
      <c r="G53" s="4">
        <v>-2478</v>
      </c>
      <c r="H53" s="4">
        <v>-2603</v>
      </c>
      <c r="I53" s="4">
        <v>-30899</v>
      </c>
      <c r="J53" s="4">
        <v>-8895</v>
      </c>
      <c r="K53" s="4">
        <v>-2237</v>
      </c>
      <c r="L53" s="4">
        <v>-1583</v>
      </c>
      <c r="M53" s="4">
        <v>-1900</v>
      </c>
      <c r="N53" s="4">
        <v>-2849</v>
      </c>
      <c r="O53" s="4">
        <v>-9028</v>
      </c>
      <c r="P53" s="4">
        <v>-108118</v>
      </c>
    </row>
    <row r="54" spans="2:16" x14ac:dyDescent="0.35">
      <c r="B54" s="2" t="s">
        <v>737</v>
      </c>
      <c r="C54" s="4">
        <v>233640</v>
      </c>
      <c r="D54" s="4">
        <v>243740</v>
      </c>
      <c r="E54" s="4">
        <v>254938</v>
      </c>
      <c r="F54" s="4">
        <v>261637</v>
      </c>
      <c r="G54" s="4">
        <v>266081</v>
      </c>
      <c r="H54" s="4">
        <v>271279</v>
      </c>
      <c r="I54" s="4">
        <v>272434</v>
      </c>
      <c r="J54" s="4">
        <v>273695</v>
      </c>
      <c r="K54" s="4">
        <v>280173</v>
      </c>
      <c r="L54" s="4">
        <v>290150</v>
      </c>
      <c r="M54" s="4">
        <v>299173</v>
      </c>
      <c r="N54" s="4">
        <v>309440</v>
      </c>
      <c r="O54" s="4">
        <v>326031</v>
      </c>
      <c r="P54" s="4">
        <v>350805</v>
      </c>
    </row>
    <row r="55" spans="2:16" x14ac:dyDescent="0.35">
      <c r="B55" s="17" t="s">
        <v>738</v>
      </c>
      <c r="C55" s="64">
        <v>-1475311</v>
      </c>
      <c r="D55" s="64">
        <v>-1503966</v>
      </c>
      <c r="E55" s="64">
        <v>-1395585</v>
      </c>
      <c r="F55" s="64">
        <v>-1187253</v>
      </c>
      <c r="G55" s="64">
        <v>-700606</v>
      </c>
      <c r="H55" s="64">
        <v>-651801</v>
      </c>
      <c r="I55" s="64">
        <v>-585082</v>
      </c>
      <c r="J55" s="64">
        <v>-720266</v>
      </c>
      <c r="K55" s="64">
        <v>-577416</v>
      </c>
      <c r="L55" s="64">
        <v>-987175</v>
      </c>
      <c r="M55" s="64">
        <v>-1154740</v>
      </c>
      <c r="N55" s="64">
        <v>-3020378</v>
      </c>
      <c r="O55" s="64">
        <v>-2904024</v>
      </c>
      <c r="P55" s="64">
        <v>-1193617</v>
      </c>
    </row>
    <row r="57" spans="2:16" x14ac:dyDescent="0.35">
      <c r="B57" s="65" t="s">
        <v>739</v>
      </c>
    </row>
    <row r="58" spans="2:16" x14ac:dyDescent="0.35">
      <c r="B58" s="65" t="s">
        <v>740</v>
      </c>
    </row>
    <row r="59" spans="2:16" x14ac:dyDescent="0.35">
      <c r="B59" s="65" t="s">
        <v>741</v>
      </c>
    </row>
    <row r="60" spans="2:16" x14ac:dyDescent="0.35">
      <c r="B60" s="65" t="s">
        <v>742</v>
      </c>
    </row>
    <row r="61" spans="2:16" x14ac:dyDescent="0.35">
      <c r="B61" s="65" t="s">
        <v>743</v>
      </c>
    </row>
    <row r="62" spans="2:16" x14ac:dyDescent="0.35">
      <c r="B62" s="65" t="s">
        <v>744</v>
      </c>
    </row>
    <row r="63" spans="2:16" x14ac:dyDescent="0.35">
      <c r="B63" s="65" t="s">
        <v>745</v>
      </c>
    </row>
    <row r="64" spans="2:16" x14ac:dyDescent="0.35">
      <c r="B64" s="65" t="s">
        <v>746</v>
      </c>
    </row>
    <row r="66" spans="2:2" x14ac:dyDescent="0.35">
      <c r="B66" s="12" t="s">
        <v>747</v>
      </c>
    </row>
    <row r="67" spans="2:2" x14ac:dyDescent="0.35">
      <c r="B67" s="12" t="s">
        <v>748</v>
      </c>
    </row>
    <row r="69" spans="2:2" x14ac:dyDescent="0.35">
      <c r="B69" s="2" t="s">
        <v>749</v>
      </c>
    </row>
    <row r="71" spans="2:2" x14ac:dyDescent="0.35">
      <c r="B71" s="2" t="s">
        <v>750</v>
      </c>
    </row>
  </sheetData>
  <hyperlinks>
    <hyperlink ref="B66" r:id="rId1" xr:uid="{1F36349A-DA5F-40F8-923F-9F798D69EAB4}"/>
    <hyperlink ref="B67" r:id="rId2" xr:uid="{CECBD5AC-3226-47C3-9CC8-4419543342D9}"/>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0F738-4C63-4D30-B4A6-7B211071FAFB}">
  <dimension ref="B2:V31"/>
  <sheetViews>
    <sheetView workbookViewId="0">
      <selection activeCell="A7" sqref="A7"/>
    </sheetView>
  </sheetViews>
  <sheetFormatPr defaultColWidth="8.7265625" defaultRowHeight="14.5" x14ac:dyDescent="0.35"/>
  <cols>
    <col min="1" max="1" width="8.7265625" style="2"/>
    <col min="2" max="2" width="46.26953125" style="2" customWidth="1"/>
    <col min="3" max="5" width="9.7265625" style="2" bestFit="1" customWidth="1"/>
    <col min="6" max="14" width="9.7265625" style="2" customWidth="1"/>
    <col min="15" max="15" width="9.7265625" style="2" bestFit="1" customWidth="1"/>
    <col min="16" max="17" width="1.54296875" style="2" customWidth="1"/>
    <col min="18" max="18" width="8.7265625" style="2"/>
    <col min="19" max="19" width="46.453125" style="2" bestFit="1" customWidth="1"/>
    <col min="20" max="16384" width="8.7265625" style="2"/>
  </cols>
  <sheetData>
    <row r="2" spans="2:22" x14ac:dyDescent="0.35">
      <c r="B2" s="1" t="s">
        <v>613</v>
      </c>
    </row>
    <row r="3" spans="2:22" x14ac:dyDescent="0.35">
      <c r="B3" s="3" t="s">
        <v>614</v>
      </c>
    </row>
    <row r="5" spans="2:22" x14ac:dyDescent="0.35">
      <c r="B5" s="5"/>
      <c r="C5" s="5">
        <v>2010</v>
      </c>
      <c r="D5" s="5">
        <v>2011</v>
      </c>
      <c r="E5" s="5">
        <v>2012</v>
      </c>
      <c r="F5" s="5">
        <v>2013</v>
      </c>
      <c r="G5" s="5">
        <v>2014</v>
      </c>
      <c r="H5" s="5">
        <v>2015</v>
      </c>
      <c r="I5" s="5">
        <v>2016</v>
      </c>
      <c r="J5" s="5">
        <v>2017</v>
      </c>
      <c r="K5" s="5">
        <v>2018</v>
      </c>
      <c r="L5" s="5">
        <v>2019</v>
      </c>
      <c r="M5" s="5">
        <v>2020</v>
      </c>
      <c r="N5" s="5">
        <v>2021</v>
      </c>
      <c r="O5" s="5">
        <v>2022</v>
      </c>
      <c r="P5" s="5"/>
      <c r="Q5" s="5"/>
      <c r="R5" s="5" t="s">
        <v>615</v>
      </c>
      <c r="S5" s="5" t="s">
        <v>616</v>
      </c>
    </row>
    <row r="6" spans="2:22" x14ac:dyDescent="0.35">
      <c r="B6" s="2" t="s">
        <v>617</v>
      </c>
    </row>
    <row r="7" spans="2:22" x14ac:dyDescent="0.35">
      <c r="B7" s="6" t="s">
        <v>618</v>
      </c>
      <c r="C7" s="4">
        <v>2224</v>
      </c>
      <c r="D7" s="4">
        <v>2327</v>
      </c>
      <c r="E7" s="4">
        <v>2519</v>
      </c>
      <c r="F7" s="4">
        <v>2680</v>
      </c>
      <c r="G7" s="4">
        <v>2838</v>
      </c>
      <c r="H7" s="4">
        <v>3004</v>
      </c>
      <c r="I7" s="4">
        <v>3126</v>
      </c>
      <c r="J7" s="4">
        <v>3263</v>
      </c>
      <c r="K7" s="4">
        <v>3469</v>
      </c>
      <c r="L7" s="4">
        <v>3729</v>
      </c>
      <c r="M7" s="4">
        <v>4700</v>
      </c>
      <c r="N7" s="4">
        <v>4172</v>
      </c>
      <c r="O7" s="4">
        <v>4598</v>
      </c>
      <c r="R7" s="2" t="s">
        <v>619</v>
      </c>
      <c r="S7" s="13" t="s">
        <v>620</v>
      </c>
    </row>
    <row r="8" spans="2:22" x14ac:dyDescent="0.35">
      <c r="B8" s="6" t="s">
        <v>621</v>
      </c>
      <c r="C8" s="4">
        <v>362</v>
      </c>
      <c r="D8" s="4">
        <v>367</v>
      </c>
      <c r="E8" s="4">
        <v>382</v>
      </c>
      <c r="F8" s="4">
        <v>391</v>
      </c>
      <c r="G8" s="4">
        <v>399</v>
      </c>
      <c r="H8" s="4">
        <v>409</v>
      </c>
      <c r="I8" s="4">
        <v>413</v>
      </c>
      <c r="J8" s="4">
        <v>420</v>
      </c>
      <c r="K8" s="4">
        <v>433</v>
      </c>
      <c r="L8" s="4">
        <v>449</v>
      </c>
      <c r="M8" s="4">
        <v>670</v>
      </c>
      <c r="N8" s="4">
        <v>471</v>
      </c>
      <c r="O8" s="4">
        <v>506</v>
      </c>
      <c r="R8" s="2" t="s">
        <v>619</v>
      </c>
      <c r="S8" s="13" t="s">
        <v>620</v>
      </c>
    </row>
    <row r="9" spans="2:22" x14ac:dyDescent="0.35">
      <c r="B9" s="6" t="s">
        <v>622</v>
      </c>
      <c r="C9" s="4">
        <v>354</v>
      </c>
      <c r="D9" s="4">
        <v>362</v>
      </c>
      <c r="E9" s="4">
        <v>375</v>
      </c>
      <c r="F9" s="4">
        <v>376</v>
      </c>
      <c r="G9" s="4">
        <v>376</v>
      </c>
      <c r="H9" s="4">
        <v>377</v>
      </c>
      <c r="I9" s="4">
        <v>372</v>
      </c>
      <c r="J9" s="4">
        <v>368</v>
      </c>
      <c r="K9" s="4">
        <v>368</v>
      </c>
      <c r="L9" s="4">
        <v>368</v>
      </c>
      <c r="M9" s="4">
        <v>737</v>
      </c>
      <c r="N9" s="4">
        <v>358</v>
      </c>
      <c r="O9" s="4">
        <v>370</v>
      </c>
      <c r="R9" s="2" t="s">
        <v>619</v>
      </c>
      <c r="S9" s="13" t="s">
        <v>620</v>
      </c>
    </row>
    <row r="10" spans="2:22" x14ac:dyDescent="0.35">
      <c r="C10" s="4"/>
      <c r="D10" s="4"/>
      <c r="E10" s="4"/>
      <c r="F10" s="4"/>
      <c r="G10" s="4"/>
      <c r="H10" s="4"/>
      <c r="I10" s="4"/>
      <c r="J10" s="4"/>
      <c r="K10" s="4"/>
      <c r="L10" s="4"/>
      <c r="M10" s="4"/>
      <c r="N10" s="4"/>
      <c r="O10" s="4"/>
    </row>
    <row r="11" spans="2:22" x14ac:dyDescent="0.35">
      <c r="B11" s="22" t="s">
        <v>623</v>
      </c>
      <c r="C11" s="4">
        <v>156.55699999999999</v>
      </c>
      <c r="D11" s="4">
        <v>159.99600000000001</v>
      </c>
      <c r="E11" s="4">
        <v>164.44399999999999</v>
      </c>
      <c r="F11" s="4">
        <v>167.554</v>
      </c>
      <c r="G11" s="4">
        <v>169.77600000000001</v>
      </c>
      <c r="H11" s="4">
        <v>169.63200000000001</v>
      </c>
      <c r="I11" s="4">
        <v>166.43600000000001</v>
      </c>
      <c r="J11" s="4">
        <v>162.08600000000001</v>
      </c>
      <c r="K11" s="4">
        <v>162.60400000000001</v>
      </c>
      <c r="L11" s="4">
        <v>161.04400000000001</v>
      </c>
      <c r="M11" s="4">
        <v>161.49799999999999</v>
      </c>
      <c r="N11" s="4">
        <v>161.893</v>
      </c>
      <c r="O11" s="4">
        <v>161.499</v>
      </c>
      <c r="R11" s="2" t="s">
        <v>624</v>
      </c>
      <c r="S11" s="13" t="s">
        <v>620</v>
      </c>
    </row>
    <row r="12" spans="2:22" x14ac:dyDescent="0.35">
      <c r="C12" s="4"/>
      <c r="D12" s="4"/>
      <c r="E12" s="4"/>
      <c r="F12" s="4"/>
      <c r="G12" s="4"/>
      <c r="H12" s="4"/>
      <c r="I12" s="4"/>
      <c r="J12" s="4"/>
      <c r="K12" s="4"/>
      <c r="L12" s="4"/>
      <c r="M12" s="4"/>
      <c r="N12" s="4"/>
      <c r="O12" s="4"/>
    </row>
    <row r="13" spans="2:22" x14ac:dyDescent="0.35">
      <c r="B13" s="2" t="s">
        <v>625</v>
      </c>
      <c r="C13" s="4">
        <f>C14+C15+C16</f>
        <v>385.60900000000004</v>
      </c>
      <c r="D13" s="4">
        <f>D14+D15+D16</f>
        <v>383.13900000000001</v>
      </c>
      <c r="E13" s="4">
        <f>E14+E15+E16</f>
        <v>387.85400000000004</v>
      </c>
      <c r="F13" s="4">
        <f>F14+F15+F16</f>
        <v>388.26900000000001</v>
      </c>
      <c r="G13" s="4"/>
      <c r="H13" s="4"/>
      <c r="I13" s="4"/>
      <c r="J13" s="4"/>
      <c r="K13" s="4"/>
      <c r="L13" s="4"/>
      <c r="M13" s="4"/>
      <c r="N13" s="4"/>
      <c r="O13" s="4"/>
    </row>
    <row r="14" spans="2:22" x14ac:dyDescent="0.35">
      <c r="B14" s="6" t="s">
        <v>626</v>
      </c>
      <c r="C14" s="4">
        <v>309.38400000000001</v>
      </c>
      <c r="D14" s="4">
        <v>293.00200000000001</v>
      </c>
      <c r="E14" s="4">
        <v>293.53500000000003</v>
      </c>
      <c r="F14" s="4">
        <v>285.98599999999999</v>
      </c>
      <c r="G14" s="7" t="s">
        <v>331</v>
      </c>
      <c r="H14" s="7" t="s">
        <v>331</v>
      </c>
      <c r="I14" s="7" t="s">
        <v>331</v>
      </c>
      <c r="J14" s="7" t="s">
        <v>331</v>
      </c>
      <c r="K14" s="7" t="s">
        <v>331</v>
      </c>
      <c r="L14" s="7" t="s">
        <v>331</v>
      </c>
      <c r="M14" s="7" t="s">
        <v>331</v>
      </c>
      <c r="N14" s="7" t="s">
        <v>331</v>
      </c>
      <c r="O14" s="7" t="s">
        <v>331</v>
      </c>
      <c r="R14" s="2" t="s">
        <v>627</v>
      </c>
      <c r="S14" s="13" t="s">
        <v>620</v>
      </c>
      <c r="U14" s="4"/>
      <c r="V14" s="4"/>
    </row>
    <row r="15" spans="2:22" x14ac:dyDescent="0.35">
      <c r="B15" s="6" t="s">
        <v>628</v>
      </c>
      <c r="C15" s="4">
        <v>44.347999999999999</v>
      </c>
      <c r="D15" s="4">
        <v>49.314999999999998</v>
      </c>
      <c r="E15" s="4">
        <v>46.968000000000004</v>
      </c>
      <c r="F15" s="4">
        <v>48.106000000000002</v>
      </c>
      <c r="G15" s="7" t="s">
        <v>331</v>
      </c>
      <c r="H15" s="7" t="s">
        <v>331</v>
      </c>
      <c r="I15" s="7" t="s">
        <v>331</v>
      </c>
      <c r="J15" s="7" t="s">
        <v>331</v>
      </c>
      <c r="K15" s="7" t="s">
        <v>331</v>
      </c>
      <c r="L15" s="7" t="s">
        <v>331</v>
      </c>
      <c r="M15" s="7" t="s">
        <v>331</v>
      </c>
      <c r="N15" s="7" t="s">
        <v>331</v>
      </c>
      <c r="O15" s="7" t="s">
        <v>331</v>
      </c>
      <c r="R15" s="2" t="s">
        <v>629</v>
      </c>
      <c r="S15" s="13" t="s">
        <v>620</v>
      </c>
      <c r="U15" s="4"/>
      <c r="V15" s="4"/>
    </row>
    <row r="16" spans="2:22" x14ac:dyDescent="0.35">
      <c r="B16" s="6" t="s">
        <v>630</v>
      </c>
      <c r="C16" s="4">
        <v>31.876999999999999</v>
      </c>
      <c r="D16" s="4">
        <v>40.822000000000003</v>
      </c>
      <c r="E16" s="4">
        <v>47.350999999999999</v>
      </c>
      <c r="F16" s="4">
        <v>54.177</v>
      </c>
      <c r="G16" s="7" t="s">
        <v>331</v>
      </c>
      <c r="H16" s="7" t="s">
        <v>331</v>
      </c>
      <c r="I16" s="7" t="s">
        <v>331</v>
      </c>
      <c r="J16" s="7" t="s">
        <v>331</v>
      </c>
      <c r="K16" s="7" t="s">
        <v>331</v>
      </c>
      <c r="L16" s="7" t="s">
        <v>331</v>
      </c>
      <c r="M16" s="7" t="s">
        <v>331</v>
      </c>
      <c r="N16" s="7" t="s">
        <v>331</v>
      </c>
      <c r="O16" s="7" t="s">
        <v>331</v>
      </c>
      <c r="R16" s="2" t="s">
        <v>631</v>
      </c>
      <c r="S16" s="13" t="s">
        <v>620</v>
      </c>
      <c r="U16" s="4"/>
      <c r="V16" s="4"/>
    </row>
    <row r="17" spans="2:19" x14ac:dyDescent="0.35">
      <c r="C17" s="4"/>
      <c r="D17" s="4"/>
      <c r="E17" s="4"/>
      <c r="F17" s="4"/>
      <c r="G17" s="7"/>
      <c r="H17" s="7"/>
      <c r="I17" s="7"/>
      <c r="J17" s="7"/>
      <c r="K17" s="7"/>
      <c r="L17" s="7"/>
      <c r="M17" s="7"/>
      <c r="N17" s="7"/>
      <c r="O17" s="7"/>
    </row>
    <row r="18" spans="2:19" x14ac:dyDescent="0.35">
      <c r="B18" s="2" t="s">
        <v>632</v>
      </c>
      <c r="C18" s="4">
        <f>C19+C20</f>
        <v>332.16399999999999</v>
      </c>
      <c r="D18" s="4">
        <f t="shared" ref="D18:F18" si="0">D19+D20</f>
        <v>347.71000000000004</v>
      </c>
      <c r="E18" s="4">
        <f t="shared" si="0"/>
        <v>354.93700000000001</v>
      </c>
      <c r="F18" s="4">
        <f t="shared" si="0"/>
        <v>370.048</v>
      </c>
      <c r="G18" s="7"/>
      <c r="H18" s="7"/>
      <c r="I18" s="7"/>
      <c r="J18" s="7"/>
      <c r="K18" s="7"/>
      <c r="L18" s="7"/>
      <c r="M18" s="7"/>
      <c r="N18" s="7"/>
      <c r="O18" s="7"/>
    </row>
    <row r="19" spans="2:19" x14ac:dyDescent="0.35">
      <c r="B19" s="6" t="s">
        <v>633</v>
      </c>
      <c r="C19" s="4">
        <v>209.16399999999999</v>
      </c>
      <c r="D19" s="4">
        <v>213.71</v>
      </c>
      <c r="E19" s="4">
        <v>209.93700000000001</v>
      </c>
      <c r="F19" s="4">
        <v>210.048</v>
      </c>
      <c r="G19" s="7" t="s">
        <v>331</v>
      </c>
      <c r="H19" s="7" t="s">
        <v>331</v>
      </c>
      <c r="I19" s="7" t="s">
        <v>331</v>
      </c>
      <c r="J19" s="7" t="s">
        <v>331</v>
      </c>
      <c r="K19" s="7" t="s">
        <v>331</v>
      </c>
      <c r="L19" s="7" t="s">
        <v>331</v>
      </c>
      <c r="M19" s="7" t="s">
        <v>331</v>
      </c>
      <c r="N19" s="7" t="s">
        <v>331</v>
      </c>
      <c r="O19" s="7" t="s">
        <v>331</v>
      </c>
      <c r="R19" s="2" t="s">
        <v>634</v>
      </c>
      <c r="S19" s="13" t="s">
        <v>620</v>
      </c>
    </row>
    <row r="20" spans="2:19" x14ac:dyDescent="0.35">
      <c r="B20" s="6" t="s">
        <v>635</v>
      </c>
      <c r="C20" s="4">
        <v>123</v>
      </c>
      <c r="D20" s="4">
        <v>134</v>
      </c>
      <c r="E20" s="4">
        <v>145</v>
      </c>
      <c r="F20" s="4">
        <v>160</v>
      </c>
      <c r="G20" s="7" t="s">
        <v>331</v>
      </c>
      <c r="H20" s="7" t="s">
        <v>331</v>
      </c>
      <c r="I20" s="7" t="s">
        <v>331</v>
      </c>
      <c r="J20" s="7" t="s">
        <v>331</v>
      </c>
      <c r="K20" s="7" t="s">
        <v>331</v>
      </c>
      <c r="L20" s="7" t="s">
        <v>331</v>
      </c>
      <c r="M20" s="7" t="s">
        <v>331</v>
      </c>
      <c r="N20" s="7" t="s">
        <v>331</v>
      </c>
      <c r="O20" s="7" t="s">
        <v>331</v>
      </c>
      <c r="R20" s="2" t="s">
        <v>636</v>
      </c>
      <c r="S20" s="13" t="s">
        <v>620</v>
      </c>
    </row>
    <row r="21" spans="2:19" x14ac:dyDescent="0.35">
      <c r="C21" s="4"/>
      <c r="D21" s="4"/>
      <c r="E21" s="4"/>
      <c r="F21" s="4"/>
      <c r="G21" s="7"/>
      <c r="H21" s="7"/>
      <c r="I21" s="7"/>
      <c r="J21" s="7"/>
      <c r="K21" s="7"/>
      <c r="L21" s="7"/>
      <c r="M21" s="7"/>
      <c r="N21" s="7"/>
      <c r="O21" s="7"/>
    </row>
    <row r="22" spans="2:19" x14ac:dyDescent="0.35">
      <c r="B22" s="2" t="s">
        <v>637</v>
      </c>
      <c r="C22" s="4"/>
      <c r="D22" s="4"/>
      <c r="E22" s="4"/>
      <c r="F22" s="4"/>
      <c r="G22" s="7"/>
      <c r="H22" s="7"/>
      <c r="I22" s="7"/>
      <c r="J22" s="7"/>
      <c r="K22" s="7"/>
      <c r="L22" s="7"/>
      <c r="M22" s="7"/>
      <c r="N22" s="7"/>
      <c r="O22" s="7"/>
    </row>
    <row r="23" spans="2:19" x14ac:dyDescent="0.35">
      <c r="B23" s="6" t="s">
        <v>638</v>
      </c>
      <c r="C23" s="4">
        <v>143612</v>
      </c>
      <c r="D23" s="4">
        <v>149860</v>
      </c>
      <c r="E23" s="4">
        <v>156900</v>
      </c>
      <c r="F23" s="4">
        <v>164833</v>
      </c>
      <c r="G23" s="7" t="s">
        <v>331</v>
      </c>
      <c r="H23" s="7" t="s">
        <v>331</v>
      </c>
      <c r="I23" s="7" t="s">
        <v>331</v>
      </c>
      <c r="J23" s="7" t="s">
        <v>331</v>
      </c>
      <c r="K23" s="7" t="s">
        <v>331</v>
      </c>
      <c r="L23" s="7" t="s">
        <v>331</v>
      </c>
      <c r="M23" s="7" t="s">
        <v>331</v>
      </c>
      <c r="N23" s="7" t="s">
        <v>331</v>
      </c>
      <c r="O23" s="7" t="s">
        <v>331</v>
      </c>
      <c r="R23" s="2" t="s">
        <v>639</v>
      </c>
      <c r="S23" s="13" t="s">
        <v>620</v>
      </c>
    </row>
    <row r="24" spans="2:19" x14ac:dyDescent="0.35">
      <c r="C24" s="4"/>
      <c r="D24" s="4"/>
      <c r="E24" s="4"/>
      <c r="F24" s="4"/>
      <c r="G24" s="7"/>
      <c r="H24" s="7"/>
      <c r="I24" s="7"/>
      <c r="J24" s="7"/>
      <c r="K24" s="7"/>
      <c r="L24" s="7"/>
      <c r="M24" s="7"/>
      <c r="N24" s="7"/>
      <c r="O24" s="7"/>
    </row>
    <row r="25" spans="2:19" x14ac:dyDescent="0.35">
      <c r="B25" s="2" t="s">
        <v>640</v>
      </c>
      <c r="C25" s="4">
        <v>993</v>
      </c>
      <c r="D25" s="4">
        <v>1466</v>
      </c>
      <c r="E25" s="4">
        <v>1466</v>
      </c>
      <c r="F25" s="4">
        <v>1508</v>
      </c>
      <c r="G25" s="7" t="s">
        <v>331</v>
      </c>
      <c r="H25" s="7" t="s">
        <v>331</v>
      </c>
      <c r="I25" s="7" t="s">
        <v>331</v>
      </c>
      <c r="J25" s="7" t="s">
        <v>331</v>
      </c>
      <c r="K25" s="7" t="s">
        <v>331</v>
      </c>
      <c r="L25" s="7" t="s">
        <v>331</v>
      </c>
      <c r="M25" s="7" t="s">
        <v>331</v>
      </c>
      <c r="N25" s="7" t="s">
        <v>331</v>
      </c>
      <c r="O25" s="7" t="s">
        <v>331</v>
      </c>
      <c r="R25" s="2" t="s">
        <v>641</v>
      </c>
      <c r="S25" s="13" t="s">
        <v>620</v>
      </c>
    </row>
    <row r="26" spans="2:19" x14ac:dyDescent="0.35">
      <c r="C26" s="4"/>
      <c r="D26" s="4"/>
      <c r="E26" s="4"/>
      <c r="F26" s="4"/>
      <c r="G26" s="4"/>
      <c r="H26" s="7"/>
      <c r="I26" s="7"/>
      <c r="J26" s="7"/>
      <c r="K26" s="7"/>
      <c r="L26" s="7"/>
      <c r="M26" s="7"/>
      <c r="N26" s="7"/>
      <c r="O26" s="7"/>
    </row>
    <row r="27" spans="2:19" x14ac:dyDescent="0.35">
      <c r="B27" s="17" t="s">
        <v>381</v>
      </c>
      <c r="C27" s="10">
        <v>325</v>
      </c>
      <c r="D27" s="10">
        <v>262</v>
      </c>
      <c r="E27" s="10">
        <v>239</v>
      </c>
      <c r="F27" s="10">
        <v>213</v>
      </c>
      <c r="G27" s="10">
        <v>285</v>
      </c>
      <c r="H27" s="11" t="s">
        <v>331</v>
      </c>
      <c r="I27" s="11" t="s">
        <v>331</v>
      </c>
      <c r="J27" s="11" t="s">
        <v>331</v>
      </c>
      <c r="K27" s="11" t="s">
        <v>331</v>
      </c>
      <c r="L27" s="11" t="s">
        <v>331</v>
      </c>
      <c r="M27" s="11" t="s">
        <v>331</v>
      </c>
      <c r="N27" s="11" t="s">
        <v>331</v>
      </c>
      <c r="O27" s="11" t="s">
        <v>331</v>
      </c>
      <c r="P27" s="17"/>
      <c r="Q27" s="17"/>
      <c r="R27" s="17" t="s">
        <v>642</v>
      </c>
      <c r="S27" s="60" t="s">
        <v>620</v>
      </c>
    </row>
    <row r="30" spans="2:19" x14ac:dyDescent="0.35">
      <c r="B30" s="61" t="s">
        <v>643</v>
      </c>
    </row>
    <row r="31" spans="2:19" ht="32" x14ac:dyDescent="0.35">
      <c r="B31" s="62" t="s">
        <v>644</v>
      </c>
    </row>
  </sheetData>
  <hyperlinks>
    <hyperlink ref="S7" r:id="rId1" xr:uid="{F7731AA4-6EF9-421C-B55B-EE264C1C8EB4}"/>
    <hyperlink ref="S20" r:id="rId2" xr:uid="{E5CA7E1C-369C-4682-9D8E-EFD8DC0EE8F3}"/>
    <hyperlink ref="S25" r:id="rId3" xr:uid="{D81A35A6-8E01-4B80-BCE7-ECA929998781}"/>
    <hyperlink ref="B30" r:id="rId4" display="https://www.ssa.gov/policy/docs/statcomps/supplement/index.html" xr:uid="{0FC68189-4C6F-49D7-9D5F-8A5DED96B666}"/>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5ECAE-9FB8-4324-B378-6B0633B04F09}">
  <dimension ref="B2:P131"/>
  <sheetViews>
    <sheetView workbookViewId="0">
      <pane xSplit="2" ySplit="5" topLeftCell="D6" activePane="bottomRight" state="frozen"/>
      <selection pane="topRight" activeCell="C1" sqref="C1"/>
      <selection pane="bottomLeft" activeCell="A6" sqref="A6"/>
      <selection pane="bottomRight" activeCell="B9" sqref="B9"/>
    </sheetView>
  </sheetViews>
  <sheetFormatPr defaultColWidth="9.26953125" defaultRowHeight="14.5" x14ac:dyDescent="0.35"/>
  <cols>
    <col min="1" max="1" width="9.26953125" style="2"/>
    <col min="2" max="2" width="35.54296875" style="2" bestFit="1" customWidth="1"/>
    <col min="3" max="12" width="8.7265625" style="2" bestFit="1" customWidth="1"/>
    <col min="13" max="13" width="9.26953125" style="2"/>
    <col min="14" max="14" width="8.7265625" style="2" bestFit="1" customWidth="1"/>
    <col min="15" max="16384" width="9.26953125" style="2"/>
  </cols>
  <sheetData>
    <row r="2" spans="2:16" x14ac:dyDescent="0.35">
      <c r="B2" s="1" t="s">
        <v>751</v>
      </c>
    </row>
    <row r="3" spans="2:16" x14ac:dyDescent="0.35">
      <c r="B3" s="3" t="s">
        <v>752</v>
      </c>
    </row>
    <row r="5" spans="2:16" x14ac:dyDescent="0.35">
      <c r="B5" s="5" t="s">
        <v>693</v>
      </c>
      <c r="C5" s="5">
        <v>2009</v>
      </c>
      <c r="D5" s="5">
        <v>2010</v>
      </c>
      <c r="E5" s="5">
        <v>2011</v>
      </c>
      <c r="F5" s="5">
        <v>2012</v>
      </c>
      <c r="G5" s="5">
        <v>2013</v>
      </c>
      <c r="H5" s="5">
        <v>2014</v>
      </c>
      <c r="I5" s="5">
        <v>2015</v>
      </c>
      <c r="J5" s="5">
        <v>2016</v>
      </c>
      <c r="K5" s="5">
        <v>2017</v>
      </c>
      <c r="L5" s="5">
        <v>2018</v>
      </c>
      <c r="M5" s="5">
        <v>2019</v>
      </c>
      <c r="N5" s="5">
        <v>2020</v>
      </c>
      <c r="O5" s="5">
        <v>2021</v>
      </c>
      <c r="P5" s="5">
        <v>2022</v>
      </c>
    </row>
    <row r="6" spans="2:16" x14ac:dyDescent="0.35">
      <c r="B6" s="2" t="s">
        <v>753</v>
      </c>
      <c r="C6" s="4">
        <v>5283993</v>
      </c>
      <c r="D6" s="4">
        <v>5559983</v>
      </c>
      <c r="E6" s="4">
        <v>5639475</v>
      </c>
      <c r="F6" s="4">
        <v>5667111</v>
      </c>
      <c r="G6" s="4">
        <v>5729512</v>
      </c>
      <c r="H6" s="4">
        <v>5885690</v>
      </c>
      <c r="I6" s="4">
        <v>6059526</v>
      </c>
      <c r="J6" s="4">
        <v>6238657</v>
      </c>
      <c r="K6" s="4">
        <v>6418502</v>
      </c>
      <c r="L6" s="4">
        <v>6749939</v>
      </c>
      <c r="M6" s="4">
        <v>7134286</v>
      </c>
      <c r="N6" s="4">
        <v>8920773</v>
      </c>
      <c r="O6" s="4">
        <v>9352851</v>
      </c>
      <c r="P6" s="4">
        <v>8691674</v>
      </c>
    </row>
    <row r="7" spans="2:16" x14ac:dyDescent="0.35">
      <c r="B7" s="2" t="s">
        <v>274</v>
      </c>
      <c r="C7" s="4">
        <v>889799</v>
      </c>
      <c r="D7" s="4">
        <v>921903</v>
      </c>
      <c r="E7" s="4">
        <v>962067</v>
      </c>
      <c r="F7" s="4">
        <v>976661</v>
      </c>
      <c r="G7" s="4">
        <v>961080</v>
      </c>
      <c r="H7" s="4">
        <v>975952</v>
      </c>
      <c r="I7" s="4">
        <v>976586</v>
      </c>
      <c r="J7" s="4">
        <v>1018533</v>
      </c>
      <c r="K7" s="4">
        <v>1052293</v>
      </c>
      <c r="L7" s="4">
        <v>1125482</v>
      </c>
      <c r="M7" s="4">
        <v>1199234</v>
      </c>
      <c r="N7" s="4">
        <v>1169734</v>
      </c>
      <c r="O7" s="4">
        <v>1240832</v>
      </c>
      <c r="P7" s="4">
        <v>1421512</v>
      </c>
    </row>
    <row r="8" spans="2:16" x14ac:dyDescent="0.35">
      <c r="B8" s="2" t="s">
        <v>754</v>
      </c>
      <c r="C8" s="4">
        <v>111166</v>
      </c>
      <c r="D8" s="4">
        <v>112095</v>
      </c>
      <c r="E8" s="4">
        <v>116537</v>
      </c>
      <c r="F8" s="4">
        <v>118427</v>
      </c>
      <c r="G8" s="4">
        <v>115617</v>
      </c>
      <c r="H8" s="4">
        <v>116362</v>
      </c>
      <c r="I8" s="4">
        <v>117415</v>
      </c>
      <c r="J8" s="4">
        <v>121577</v>
      </c>
      <c r="K8" s="4">
        <v>121075</v>
      </c>
      <c r="L8" s="4">
        <v>126866</v>
      </c>
      <c r="M8" s="4">
        <v>131475</v>
      </c>
      <c r="N8" s="4">
        <v>143336</v>
      </c>
      <c r="O8" s="4">
        <v>153585</v>
      </c>
      <c r="P8" s="4">
        <v>187372</v>
      </c>
    </row>
    <row r="9" spans="2:16" x14ac:dyDescent="0.35">
      <c r="B9" s="2" t="s">
        <v>755</v>
      </c>
      <c r="C9" s="4">
        <v>52332</v>
      </c>
      <c r="D9" s="4">
        <v>54601</v>
      </c>
      <c r="E9" s="4">
        <v>49045</v>
      </c>
      <c r="F9" s="4">
        <v>49014</v>
      </c>
      <c r="G9" s="4">
        <v>50103</v>
      </c>
      <c r="H9" s="4">
        <v>49268</v>
      </c>
      <c r="I9" s="4">
        <v>51937</v>
      </c>
      <c r="J9" s="4">
        <v>54397</v>
      </c>
      <c r="K9" s="4">
        <v>55196</v>
      </c>
      <c r="L9" s="4">
        <v>59294</v>
      </c>
      <c r="M9" s="4">
        <v>61808</v>
      </c>
      <c r="N9" s="4">
        <v>68642</v>
      </c>
      <c r="O9" s="4">
        <v>64008</v>
      </c>
      <c r="P9" s="4">
        <v>69998</v>
      </c>
    </row>
    <row r="10" spans="2:16" x14ac:dyDescent="0.35">
      <c r="B10" s="2" t="s">
        <v>756</v>
      </c>
      <c r="C10" s="4">
        <v>621553</v>
      </c>
      <c r="D10" s="4">
        <v>648459</v>
      </c>
      <c r="E10" s="4">
        <v>691208</v>
      </c>
      <c r="F10" s="4">
        <v>703747</v>
      </c>
      <c r="G10" s="4">
        <v>686541</v>
      </c>
      <c r="H10" s="4">
        <v>701355</v>
      </c>
      <c r="I10" s="4">
        <v>698020</v>
      </c>
      <c r="J10" s="4">
        <v>737072</v>
      </c>
      <c r="K10" s="4">
        <v>767644</v>
      </c>
      <c r="L10" s="4">
        <v>826647</v>
      </c>
      <c r="M10" s="4">
        <v>883547</v>
      </c>
      <c r="N10" s="4">
        <v>815302</v>
      </c>
      <c r="O10" s="4">
        <v>855458</v>
      </c>
      <c r="P10" s="4">
        <v>973673</v>
      </c>
    </row>
    <row r="11" spans="2:16" x14ac:dyDescent="0.35">
      <c r="B11" s="2" t="s">
        <v>757</v>
      </c>
      <c r="C11" s="4">
        <v>104748</v>
      </c>
      <c r="D11" s="4">
        <v>106748</v>
      </c>
      <c r="E11" s="4">
        <v>105277</v>
      </c>
      <c r="F11" s="4">
        <v>105472</v>
      </c>
      <c r="G11" s="4">
        <v>108820</v>
      </c>
      <c r="H11" s="4">
        <v>108966</v>
      </c>
      <c r="I11" s="4">
        <v>109214</v>
      </c>
      <c r="J11" s="4">
        <v>105487</v>
      </c>
      <c r="K11" s="4">
        <v>108377</v>
      </c>
      <c r="L11" s="4">
        <v>112675</v>
      </c>
      <c r="M11" s="4">
        <v>122403</v>
      </c>
      <c r="N11" s="4">
        <v>142453</v>
      </c>
      <c r="O11" s="4">
        <v>167782</v>
      </c>
      <c r="P11" s="4">
        <v>190469</v>
      </c>
    </row>
    <row r="12" spans="2:16" x14ac:dyDescent="0.35">
      <c r="B12" s="2" t="s">
        <v>275</v>
      </c>
      <c r="C12" s="4">
        <v>614836</v>
      </c>
      <c r="D12" s="4">
        <v>652196</v>
      </c>
      <c r="E12" s="4">
        <v>662376</v>
      </c>
      <c r="F12" s="4">
        <v>650930</v>
      </c>
      <c r="G12" s="4">
        <v>610969</v>
      </c>
      <c r="H12" s="4">
        <v>597936</v>
      </c>
      <c r="I12" s="4">
        <v>586256</v>
      </c>
      <c r="J12" s="4">
        <v>588257</v>
      </c>
      <c r="K12" s="4">
        <v>601353</v>
      </c>
      <c r="L12" s="4">
        <v>635472</v>
      </c>
      <c r="M12" s="4">
        <v>678384</v>
      </c>
      <c r="N12" s="4">
        <v>698660</v>
      </c>
      <c r="O12" s="4">
        <v>710049</v>
      </c>
      <c r="P12" s="4">
        <v>726809</v>
      </c>
    </row>
    <row r="13" spans="2:16" x14ac:dyDescent="0.35">
      <c r="B13" s="2" t="s">
        <v>264</v>
      </c>
      <c r="C13" s="4">
        <v>328216</v>
      </c>
      <c r="D13" s="4">
        <v>332670</v>
      </c>
      <c r="E13" s="4">
        <v>333251</v>
      </c>
      <c r="F13" s="4">
        <v>333067</v>
      </c>
      <c r="G13" s="4">
        <v>338448</v>
      </c>
      <c r="H13" s="4">
        <v>349993</v>
      </c>
      <c r="I13" s="4">
        <v>362420</v>
      </c>
      <c r="J13" s="4">
        <v>371539</v>
      </c>
      <c r="K13" s="4">
        <v>381568</v>
      </c>
      <c r="L13" s="4">
        <v>403252</v>
      </c>
      <c r="M13" s="4">
        <v>421630</v>
      </c>
      <c r="N13" s="4">
        <v>431239</v>
      </c>
      <c r="O13" s="4">
        <v>454223</v>
      </c>
      <c r="P13" s="4">
        <v>483329</v>
      </c>
    </row>
    <row r="14" spans="2:16" x14ac:dyDescent="0.35">
      <c r="B14" s="2" t="s">
        <v>758</v>
      </c>
      <c r="C14" s="4">
        <v>143320</v>
      </c>
      <c r="D14" s="4">
        <v>147112</v>
      </c>
      <c r="E14" s="4">
        <v>148874</v>
      </c>
      <c r="F14" s="4">
        <v>149730</v>
      </c>
      <c r="G14" s="4">
        <v>151500</v>
      </c>
      <c r="H14" s="4">
        <v>156701</v>
      </c>
      <c r="I14" s="4">
        <v>162244</v>
      </c>
      <c r="J14" s="4">
        <v>168164</v>
      </c>
      <c r="K14" s="4">
        <v>174513</v>
      </c>
      <c r="L14" s="4">
        <v>185753</v>
      </c>
      <c r="M14" s="4">
        <v>194000</v>
      </c>
      <c r="N14" s="4">
        <v>201818</v>
      </c>
      <c r="O14" s="4">
        <v>211116</v>
      </c>
      <c r="P14" s="4">
        <v>222691</v>
      </c>
    </row>
    <row r="15" spans="2:16" x14ac:dyDescent="0.35">
      <c r="B15" s="2" t="s">
        <v>759</v>
      </c>
      <c r="C15" s="4">
        <v>46031</v>
      </c>
      <c r="D15" s="4">
        <v>46958</v>
      </c>
      <c r="E15" s="4">
        <v>47327</v>
      </c>
      <c r="F15" s="4">
        <v>47219</v>
      </c>
      <c r="G15" s="4">
        <v>49767</v>
      </c>
      <c r="H15" s="4">
        <v>51620</v>
      </c>
      <c r="I15" s="4">
        <v>53425</v>
      </c>
      <c r="J15" s="4">
        <v>54969</v>
      </c>
      <c r="K15" s="4">
        <v>56247</v>
      </c>
      <c r="L15" s="4">
        <v>60338</v>
      </c>
      <c r="M15" s="4">
        <v>63944</v>
      </c>
      <c r="N15" s="4">
        <v>66519</v>
      </c>
      <c r="O15" s="4">
        <v>70836</v>
      </c>
      <c r="P15" s="4">
        <v>75421</v>
      </c>
    </row>
    <row r="16" spans="2:16" x14ac:dyDescent="0.35">
      <c r="B16" s="2" t="s">
        <v>760</v>
      </c>
      <c r="C16" s="4">
        <v>54947</v>
      </c>
      <c r="D16" s="4">
        <v>55460</v>
      </c>
      <c r="E16" s="4">
        <v>54627</v>
      </c>
      <c r="F16" s="4">
        <v>54054</v>
      </c>
      <c r="G16" s="4">
        <v>52441</v>
      </c>
      <c r="H16" s="4">
        <v>53864</v>
      </c>
      <c r="I16" s="4">
        <v>56172</v>
      </c>
      <c r="J16" s="4">
        <v>57088</v>
      </c>
      <c r="K16" s="4">
        <v>58110</v>
      </c>
      <c r="L16" s="4">
        <v>60717</v>
      </c>
      <c r="M16" s="4">
        <v>64036</v>
      </c>
      <c r="N16" s="4">
        <v>65292</v>
      </c>
      <c r="O16" s="4">
        <v>67450</v>
      </c>
      <c r="P16" s="4">
        <v>71150</v>
      </c>
    </row>
    <row r="17" spans="2:16" x14ac:dyDescent="0.35">
      <c r="B17" s="2" t="s">
        <v>761</v>
      </c>
      <c r="C17" s="4">
        <v>83918</v>
      </c>
      <c r="D17" s="4">
        <v>83141</v>
      </c>
      <c r="E17" s="4">
        <v>82424</v>
      </c>
      <c r="F17" s="4">
        <v>82062</v>
      </c>
      <c r="G17" s="4">
        <v>84740</v>
      </c>
      <c r="H17" s="4">
        <v>87808</v>
      </c>
      <c r="I17" s="4">
        <v>90580</v>
      </c>
      <c r="J17" s="4">
        <v>91317</v>
      </c>
      <c r="K17" s="4">
        <v>92697</v>
      </c>
      <c r="L17" s="4">
        <v>96445</v>
      </c>
      <c r="M17" s="4">
        <v>99649</v>
      </c>
      <c r="N17" s="4">
        <v>97611</v>
      </c>
      <c r="O17" s="4">
        <v>104821</v>
      </c>
      <c r="P17" s="4">
        <v>114067</v>
      </c>
    </row>
    <row r="18" spans="2:16" x14ac:dyDescent="0.35">
      <c r="B18" s="2" t="s">
        <v>265</v>
      </c>
      <c r="C18" s="4">
        <v>305152</v>
      </c>
      <c r="D18" s="4">
        <v>315325</v>
      </c>
      <c r="E18" s="4">
        <v>306425</v>
      </c>
      <c r="F18" s="4">
        <v>311491</v>
      </c>
      <c r="G18" s="4">
        <v>313783</v>
      </c>
      <c r="H18" s="4">
        <v>314754</v>
      </c>
      <c r="I18" s="4">
        <v>320320</v>
      </c>
      <c r="J18" s="4">
        <v>325583</v>
      </c>
      <c r="K18" s="4">
        <v>331900</v>
      </c>
      <c r="L18" s="4">
        <v>352399</v>
      </c>
      <c r="M18" s="4">
        <v>373373</v>
      </c>
      <c r="N18" s="4">
        <v>994526</v>
      </c>
      <c r="O18" s="4">
        <v>836983</v>
      </c>
      <c r="P18" s="4">
        <v>462874</v>
      </c>
    </row>
    <row r="19" spans="2:16" x14ac:dyDescent="0.35">
      <c r="B19" s="2" t="s">
        <v>762</v>
      </c>
      <c r="C19" s="4">
        <v>154630</v>
      </c>
      <c r="D19" s="4">
        <v>158077</v>
      </c>
      <c r="E19" s="4">
        <v>163814</v>
      </c>
      <c r="F19" s="4">
        <v>167607</v>
      </c>
      <c r="G19" s="4">
        <v>171020</v>
      </c>
      <c r="H19" s="4">
        <v>175228</v>
      </c>
      <c r="I19" s="4">
        <v>178028</v>
      </c>
      <c r="J19" s="4">
        <v>178514</v>
      </c>
      <c r="K19" s="4">
        <v>183927</v>
      </c>
      <c r="L19" s="4">
        <v>193558</v>
      </c>
      <c r="M19" s="4">
        <v>200937</v>
      </c>
      <c r="N19" s="4">
        <v>218750</v>
      </c>
      <c r="O19" s="4">
        <v>239239</v>
      </c>
      <c r="P19" s="4">
        <v>261176</v>
      </c>
    </row>
    <row r="20" spans="2:16" x14ac:dyDescent="0.35">
      <c r="B20" s="2" t="s">
        <v>763</v>
      </c>
      <c r="C20" s="4">
        <v>122990</v>
      </c>
      <c r="D20" s="4">
        <v>123502</v>
      </c>
      <c r="E20" s="4">
        <v>127887</v>
      </c>
      <c r="F20" s="4">
        <v>131995</v>
      </c>
      <c r="G20" s="4">
        <v>136875</v>
      </c>
      <c r="H20" s="4">
        <v>140588</v>
      </c>
      <c r="I20" s="4">
        <v>141844</v>
      </c>
      <c r="J20" s="4">
        <v>142678</v>
      </c>
      <c r="K20" s="4">
        <v>145939</v>
      </c>
      <c r="L20" s="4">
        <v>153675</v>
      </c>
      <c r="M20" s="4">
        <v>160642</v>
      </c>
      <c r="N20" s="4">
        <v>162518</v>
      </c>
      <c r="O20" s="4">
        <v>176132</v>
      </c>
      <c r="P20" s="4">
        <v>191882</v>
      </c>
    </row>
    <row r="21" spans="2:16" x14ac:dyDescent="0.35">
      <c r="B21" s="2" t="s">
        <v>764</v>
      </c>
      <c r="C21" s="4">
        <v>18017</v>
      </c>
      <c r="D21" s="4">
        <v>19183</v>
      </c>
      <c r="E21" s="4">
        <v>20000</v>
      </c>
      <c r="F21" s="4">
        <v>20407</v>
      </c>
      <c r="G21" s="4">
        <v>19486</v>
      </c>
      <c r="H21" s="4">
        <v>19802</v>
      </c>
      <c r="I21" s="4">
        <v>21513</v>
      </c>
      <c r="J21" s="4">
        <v>21573</v>
      </c>
      <c r="K21" s="4">
        <v>22598</v>
      </c>
      <c r="L21" s="4">
        <v>24042</v>
      </c>
      <c r="M21" s="4">
        <v>23809</v>
      </c>
      <c r="N21" s="4">
        <v>22988</v>
      </c>
      <c r="O21" s="4">
        <v>26055</v>
      </c>
      <c r="P21" s="4">
        <v>27360</v>
      </c>
    </row>
    <row r="22" spans="2:16" x14ac:dyDescent="0.35">
      <c r="B22" s="2" t="s">
        <v>765</v>
      </c>
      <c r="C22" s="4">
        <v>10954</v>
      </c>
      <c r="D22" s="4">
        <v>12040</v>
      </c>
      <c r="E22" s="4">
        <v>12977</v>
      </c>
      <c r="F22" s="4">
        <v>12745</v>
      </c>
      <c r="G22" s="4">
        <v>12275</v>
      </c>
      <c r="H22" s="4">
        <v>12523</v>
      </c>
      <c r="I22" s="4">
        <v>12234</v>
      </c>
      <c r="J22" s="4">
        <v>11711</v>
      </c>
      <c r="K22" s="4">
        <v>12522</v>
      </c>
      <c r="L22" s="4">
        <v>12762</v>
      </c>
      <c r="M22" s="4">
        <v>13817</v>
      </c>
      <c r="N22" s="4">
        <v>13069</v>
      </c>
      <c r="O22" s="4">
        <v>14661</v>
      </c>
      <c r="P22" s="4">
        <v>16441</v>
      </c>
    </row>
    <row r="23" spans="2:16" x14ac:dyDescent="0.35">
      <c r="B23" s="2" t="s">
        <v>766</v>
      </c>
      <c r="C23" s="4">
        <v>2669</v>
      </c>
      <c r="D23" s="4">
        <v>3353</v>
      </c>
      <c r="E23" s="4">
        <v>2950</v>
      </c>
      <c r="F23" s="4">
        <v>2460</v>
      </c>
      <c r="G23" s="4">
        <v>2383</v>
      </c>
      <c r="H23" s="4">
        <v>2315</v>
      </c>
      <c r="I23" s="4">
        <v>2437</v>
      </c>
      <c r="J23" s="4">
        <v>2553</v>
      </c>
      <c r="K23" s="4">
        <v>2867</v>
      </c>
      <c r="L23" s="4">
        <v>3079</v>
      </c>
      <c r="M23" s="4">
        <v>2669</v>
      </c>
      <c r="N23" s="4">
        <v>20175</v>
      </c>
      <c r="O23" s="4">
        <v>22390</v>
      </c>
      <c r="P23" s="4">
        <v>25493</v>
      </c>
    </row>
    <row r="24" spans="2:16" x14ac:dyDescent="0.35">
      <c r="B24" s="2" t="s">
        <v>767</v>
      </c>
      <c r="C24" s="4">
        <v>19875</v>
      </c>
      <c r="D24" s="4">
        <v>19006</v>
      </c>
      <c r="E24" s="4">
        <v>16983</v>
      </c>
      <c r="F24" s="4">
        <v>15825</v>
      </c>
      <c r="G24" s="4">
        <v>15194</v>
      </c>
      <c r="H24" s="4">
        <v>15703</v>
      </c>
      <c r="I24" s="4">
        <v>15355</v>
      </c>
      <c r="J24" s="4">
        <v>14978</v>
      </c>
      <c r="K24" s="4">
        <v>14518</v>
      </c>
      <c r="L24" s="4">
        <v>15685</v>
      </c>
      <c r="M24" s="4">
        <v>16642</v>
      </c>
      <c r="N24" s="4">
        <v>17655</v>
      </c>
      <c r="O24" s="4">
        <v>19308</v>
      </c>
      <c r="P24" s="4">
        <v>19555</v>
      </c>
    </row>
    <row r="25" spans="2:16" x14ac:dyDescent="0.35">
      <c r="B25" s="2" t="s">
        <v>768</v>
      </c>
      <c r="C25" s="4">
        <v>130647</v>
      </c>
      <c r="D25" s="4">
        <v>138241</v>
      </c>
      <c r="E25" s="4">
        <v>125627</v>
      </c>
      <c r="F25" s="4">
        <v>128057</v>
      </c>
      <c r="G25" s="4">
        <v>127569</v>
      </c>
      <c r="H25" s="4">
        <v>123823</v>
      </c>
      <c r="I25" s="4">
        <v>126936</v>
      </c>
      <c r="J25" s="4">
        <v>132092</v>
      </c>
      <c r="K25" s="4">
        <v>133455</v>
      </c>
      <c r="L25" s="4">
        <v>143156</v>
      </c>
      <c r="M25" s="4">
        <v>155794</v>
      </c>
      <c r="N25" s="4">
        <v>758121</v>
      </c>
      <c r="O25" s="4">
        <v>578437</v>
      </c>
      <c r="P25" s="4">
        <v>182143</v>
      </c>
    </row>
    <row r="26" spans="2:16" x14ac:dyDescent="0.35">
      <c r="B26" s="2" t="s">
        <v>769</v>
      </c>
      <c r="C26" s="4">
        <v>55732</v>
      </c>
      <c r="D26" s="4">
        <v>52671</v>
      </c>
      <c r="E26" s="4">
        <v>50514</v>
      </c>
      <c r="F26" s="4">
        <v>52024</v>
      </c>
      <c r="G26" s="4">
        <v>53520</v>
      </c>
      <c r="H26" s="4">
        <v>52126</v>
      </c>
      <c r="I26" s="4">
        <v>51250</v>
      </c>
      <c r="J26" s="4">
        <v>52887</v>
      </c>
      <c r="K26" s="4">
        <v>55617</v>
      </c>
      <c r="L26" s="4">
        <v>61882</v>
      </c>
      <c r="M26" s="4">
        <v>65408</v>
      </c>
      <c r="N26" s="4">
        <v>637788</v>
      </c>
      <c r="O26" s="4">
        <v>474385</v>
      </c>
      <c r="P26" s="4">
        <v>101992</v>
      </c>
    </row>
    <row r="27" spans="2:16" x14ac:dyDescent="0.35">
      <c r="B27" s="2" t="s">
        <v>770</v>
      </c>
      <c r="C27" s="4">
        <v>26623</v>
      </c>
      <c r="D27" s="4">
        <v>30427</v>
      </c>
      <c r="E27" s="4">
        <v>25745</v>
      </c>
      <c r="F27" s="4">
        <v>25745</v>
      </c>
      <c r="G27" s="4">
        <v>25775</v>
      </c>
      <c r="H27" s="4">
        <v>24706</v>
      </c>
      <c r="I27" s="4">
        <v>26185</v>
      </c>
      <c r="J27" s="4">
        <v>27764</v>
      </c>
      <c r="K27" s="4">
        <v>27682</v>
      </c>
      <c r="L27" s="4">
        <v>30991</v>
      </c>
      <c r="M27" s="4">
        <v>40096</v>
      </c>
      <c r="N27" s="4">
        <v>64558</v>
      </c>
      <c r="O27" s="4">
        <v>46110</v>
      </c>
      <c r="P27" s="4">
        <v>36505</v>
      </c>
    </row>
    <row r="28" spans="2:16" x14ac:dyDescent="0.35">
      <c r="B28" s="2" t="s">
        <v>771</v>
      </c>
      <c r="C28" s="4">
        <v>14172</v>
      </c>
      <c r="D28" s="4">
        <v>18685</v>
      </c>
      <c r="E28" s="4">
        <v>13681</v>
      </c>
      <c r="F28" s="4">
        <v>14503</v>
      </c>
      <c r="G28" s="4">
        <v>14241</v>
      </c>
      <c r="H28" s="4">
        <v>13407</v>
      </c>
      <c r="I28" s="4">
        <v>14599</v>
      </c>
      <c r="J28" s="4">
        <v>14130</v>
      </c>
      <c r="K28" s="4">
        <v>12633</v>
      </c>
      <c r="L28" s="4">
        <v>13082</v>
      </c>
      <c r="M28" s="4">
        <v>12084</v>
      </c>
      <c r="N28" s="4">
        <v>14865</v>
      </c>
      <c r="O28" s="4">
        <v>13021</v>
      </c>
      <c r="P28" s="4">
        <v>-3365</v>
      </c>
    </row>
    <row r="29" spans="2:16" x14ac:dyDescent="0.35">
      <c r="B29" s="2" t="s">
        <v>772</v>
      </c>
      <c r="C29" s="4">
        <v>34246</v>
      </c>
      <c r="D29" s="4">
        <v>36593</v>
      </c>
      <c r="E29" s="4">
        <v>35818</v>
      </c>
      <c r="F29" s="4">
        <v>36155</v>
      </c>
      <c r="G29" s="4">
        <v>34178</v>
      </c>
      <c r="H29" s="4">
        <v>33741</v>
      </c>
      <c r="I29" s="4">
        <v>35154</v>
      </c>
      <c r="J29" s="4">
        <v>37738</v>
      </c>
      <c r="K29" s="4">
        <v>38015</v>
      </c>
      <c r="L29" s="4">
        <v>37710</v>
      </c>
      <c r="M29" s="4">
        <v>38718</v>
      </c>
      <c r="N29" s="4">
        <v>41454</v>
      </c>
      <c r="O29" s="4">
        <v>45518</v>
      </c>
      <c r="P29" s="4">
        <v>47618</v>
      </c>
    </row>
    <row r="30" spans="2:16" x14ac:dyDescent="0.35">
      <c r="B30" s="2" t="s">
        <v>773</v>
      </c>
      <c r="C30" s="4">
        <v>-64</v>
      </c>
      <c r="D30" s="4">
        <v>-70</v>
      </c>
      <c r="E30" s="4">
        <v>-56</v>
      </c>
      <c r="F30" s="4">
        <v>-51</v>
      </c>
      <c r="G30" s="4">
        <v>-35</v>
      </c>
      <c r="H30" s="4">
        <v>-17</v>
      </c>
      <c r="I30" s="4">
        <v>-18</v>
      </c>
      <c r="J30" s="4">
        <v>-19</v>
      </c>
      <c r="K30" s="4">
        <v>-32</v>
      </c>
      <c r="L30" s="4">
        <v>-29</v>
      </c>
      <c r="M30" s="2">
        <v>-17</v>
      </c>
      <c r="N30" s="2">
        <v>-28</v>
      </c>
      <c r="O30" s="2">
        <v>-63</v>
      </c>
      <c r="P30" s="2">
        <v>-27</v>
      </c>
    </row>
    <row r="31" spans="2:16" x14ac:dyDescent="0.35">
      <c r="B31" s="2" t="s">
        <v>774</v>
      </c>
      <c r="C31" s="4">
        <v>-64</v>
      </c>
      <c r="D31" s="4">
        <v>-66</v>
      </c>
      <c r="E31" s="4">
        <v>-75</v>
      </c>
      <c r="F31" s="4">
        <v>-318</v>
      </c>
      <c r="G31" s="4">
        <v>-110</v>
      </c>
      <c r="H31" s="4">
        <v>-140</v>
      </c>
      <c r="I31" s="4">
        <v>-234</v>
      </c>
      <c r="J31" s="4">
        <v>-410</v>
      </c>
      <c r="K31" s="4">
        <v>-460</v>
      </c>
      <c r="L31" s="4">
        <v>-480</v>
      </c>
      <c r="M31" s="2">
        <v>-495</v>
      </c>
      <c r="N31" s="2">
        <v>-517</v>
      </c>
      <c r="O31" s="2">
        <v>-534</v>
      </c>
      <c r="P31" s="2">
        <v>-579</v>
      </c>
    </row>
    <row r="32" spans="2:16" x14ac:dyDescent="0.35">
      <c r="B32" s="2" t="s">
        <v>276</v>
      </c>
      <c r="C32" s="4">
        <v>46103</v>
      </c>
      <c r="D32" s="4">
        <v>46150</v>
      </c>
      <c r="E32" s="4">
        <v>47145</v>
      </c>
      <c r="F32" s="4">
        <v>46181</v>
      </c>
      <c r="G32" s="4">
        <v>46071</v>
      </c>
      <c r="H32" s="4">
        <v>45746</v>
      </c>
      <c r="I32" s="4">
        <v>47073</v>
      </c>
      <c r="J32" s="4">
        <v>50277</v>
      </c>
      <c r="K32" s="4">
        <v>50055</v>
      </c>
      <c r="L32" s="4">
        <v>52403</v>
      </c>
      <c r="M32" s="4">
        <v>54726</v>
      </c>
      <c r="N32" s="4">
        <v>58865</v>
      </c>
      <c r="O32" s="4">
        <v>64282</v>
      </c>
      <c r="P32" s="4">
        <v>66641</v>
      </c>
    </row>
    <row r="33" spans="2:16" x14ac:dyDescent="0.35">
      <c r="B33" s="2" t="s">
        <v>198</v>
      </c>
      <c r="C33" s="4">
        <v>1042549</v>
      </c>
      <c r="D33" s="4">
        <v>1097711</v>
      </c>
      <c r="E33" s="4">
        <v>1138146</v>
      </c>
      <c r="F33" s="4">
        <v>1170335</v>
      </c>
      <c r="G33" s="4">
        <v>1216179</v>
      </c>
      <c r="H33" s="4">
        <v>1317133</v>
      </c>
      <c r="I33" s="4">
        <v>1414158</v>
      </c>
      <c r="J33" s="4">
        <v>1480806</v>
      </c>
      <c r="K33" s="4">
        <v>1532455</v>
      </c>
      <c r="L33" s="4">
        <v>1615517</v>
      </c>
      <c r="M33" s="4">
        <v>1717763</v>
      </c>
      <c r="N33" s="4">
        <v>1916759</v>
      </c>
      <c r="O33" s="4">
        <v>2065178</v>
      </c>
      <c r="P33" s="4">
        <v>2238816</v>
      </c>
    </row>
    <row r="34" spans="2:16" x14ac:dyDescent="0.35">
      <c r="B34" s="2" t="s">
        <v>277</v>
      </c>
      <c r="C34" s="4">
        <v>33597</v>
      </c>
      <c r="D34" s="4">
        <v>33777</v>
      </c>
      <c r="E34" s="4">
        <v>32719</v>
      </c>
      <c r="F34" s="4">
        <v>32606</v>
      </c>
      <c r="G34" s="4">
        <v>33768</v>
      </c>
      <c r="H34" s="4">
        <v>34858</v>
      </c>
      <c r="I34" s="4">
        <v>35986</v>
      </c>
      <c r="J34" s="4">
        <v>37909</v>
      </c>
      <c r="K34" s="4">
        <v>39197</v>
      </c>
      <c r="L34" s="4">
        <v>41344</v>
      </c>
      <c r="M34" s="4">
        <v>43860</v>
      </c>
      <c r="N34" s="4">
        <v>44288</v>
      </c>
      <c r="O34" s="4">
        <v>44594</v>
      </c>
      <c r="P34" s="4">
        <v>47098</v>
      </c>
    </row>
    <row r="35" spans="2:16" x14ac:dyDescent="0.35">
      <c r="B35" s="2" t="s">
        <v>138</v>
      </c>
      <c r="C35" s="4">
        <v>777316</v>
      </c>
      <c r="D35" s="4">
        <v>813238</v>
      </c>
      <c r="E35" s="4">
        <v>821745</v>
      </c>
      <c r="F35" s="4">
        <v>828478</v>
      </c>
      <c r="G35" s="4">
        <v>860402</v>
      </c>
      <c r="H35" s="4">
        <v>882096</v>
      </c>
      <c r="I35" s="4">
        <v>902971</v>
      </c>
      <c r="J35" s="4">
        <v>923269</v>
      </c>
      <c r="K35" s="4">
        <v>947933</v>
      </c>
      <c r="L35" s="4">
        <v>983893</v>
      </c>
      <c r="M35" s="4">
        <v>1019283</v>
      </c>
      <c r="N35" s="4">
        <v>1047561</v>
      </c>
      <c r="O35" s="4">
        <v>1097866</v>
      </c>
      <c r="P35" s="4">
        <v>1179919</v>
      </c>
    </row>
    <row r="36" spans="2:16" x14ac:dyDescent="0.35">
      <c r="B36" s="2" t="s">
        <v>775</v>
      </c>
      <c r="C36" s="4">
        <v>565942</v>
      </c>
      <c r="D36" s="4">
        <v>572471</v>
      </c>
      <c r="E36" s="4">
        <v>569337</v>
      </c>
      <c r="F36" s="4">
        <v>570431</v>
      </c>
      <c r="G36" s="4">
        <v>593223</v>
      </c>
      <c r="H36" s="4">
        <v>608366</v>
      </c>
      <c r="I36" s="4">
        <v>626820</v>
      </c>
      <c r="J36" s="4">
        <v>645944</v>
      </c>
      <c r="K36" s="4">
        <v>665976</v>
      </c>
      <c r="L36" s="4">
        <v>691026</v>
      </c>
      <c r="M36" s="4">
        <v>712158</v>
      </c>
      <c r="N36" s="4">
        <v>728513</v>
      </c>
      <c r="O36" s="4">
        <v>768516</v>
      </c>
      <c r="P36" s="4">
        <v>833726</v>
      </c>
    </row>
    <row r="37" spans="2:16" x14ac:dyDescent="0.35">
      <c r="B37" s="2" t="s">
        <v>776</v>
      </c>
      <c r="C37" s="4">
        <v>151315</v>
      </c>
      <c r="D37" s="4">
        <v>167462</v>
      </c>
      <c r="E37" s="4">
        <v>173044</v>
      </c>
      <c r="F37" s="4">
        <v>175715</v>
      </c>
      <c r="G37" s="4">
        <v>182722</v>
      </c>
      <c r="H37" s="4">
        <v>186736</v>
      </c>
      <c r="I37" s="4">
        <v>188235</v>
      </c>
      <c r="J37" s="4">
        <v>188666</v>
      </c>
      <c r="K37" s="4">
        <v>190209</v>
      </c>
      <c r="L37" s="4">
        <v>197637</v>
      </c>
      <c r="M37" s="4">
        <v>205336</v>
      </c>
      <c r="N37" s="4">
        <v>211516</v>
      </c>
      <c r="O37" s="4">
        <v>214728</v>
      </c>
      <c r="P37" s="4">
        <v>225729</v>
      </c>
    </row>
    <row r="38" spans="2:16" x14ac:dyDescent="0.35">
      <c r="B38" s="2" t="s">
        <v>777</v>
      </c>
      <c r="C38" s="4">
        <v>60059</v>
      </c>
      <c r="D38" s="4">
        <v>73304</v>
      </c>
      <c r="E38" s="4">
        <v>79363</v>
      </c>
      <c r="F38" s="4">
        <v>82332</v>
      </c>
      <c r="G38" s="4">
        <v>84457</v>
      </c>
      <c r="H38" s="4">
        <v>86995</v>
      </c>
      <c r="I38" s="4">
        <v>87916</v>
      </c>
      <c r="J38" s="4">
        <v>88659</v>
      </c>
      <c r="K38" s="4">
        <v>91748</v>
      </c>
      <c r="L38" s="4">
        <v>95229</v>
      </c>
      <c r="M38" s="4">
        <v>101789</v>
      </c>
      <c r="N38" s="4">
        <v>107532</v>
      </c>
      <c r="O38" s="4">
        <v>114622</v>
      </c>
      <c r="P38" s="4">
        <v>120464</v>
      </c>
    </row>
    <row r="39" spans="2:16" x14ac:dyDescent="0.35">
      <c r="B39" s="2" t="s">
        <v>778</v>
      </c>
      <c r="C39" s="4">
        <v>10677</v>
      </c>
      <c r="D39" s="4">
        <v>10636</v>
      </c>
      <c r="E39" s="4">
        <v>10928</v>
      </c>
      <c r="F39" s="4">
        <v>10873</v>
      </c>
      <c r="G39" s="4">
        <v>11149</v>
      </c>
      <c r="H39" s="4">
        <v>11354</v>
      </c>
      <c r="I39" s="4">
        <v>11627</v>
      </c>
      <c r="J39" s="4">
        <v>11903</v>
      </c>
      <c r="K39" s="4">
        <v>12239</v>
      </c>
      <c r="L39" s="4">
        <v>12590</v>
      </c>
      <c r="M39" s="4">
        <v>12924</v>
      </c>
      <c r="N39" s="4">
        <v>14350</v>
      </c>
      <c r="O39" s="4">
        <v>14550</v>
      </c>
      <c r="P39" s="4">
        <v>14272</v>
      </c>
    </row>
    <row r="40" spans="2:16" x14ac:dyDescent="0.35">
      <c r="B40" s="2" t="s">
        <v>700</v>
      </c>
      <c r="C40" s="4">
        <v>49382</v>
      </c>
      <c r="D40" s="4">
        <v>62669</v>
      </c>
      <c r="E40" s="4">
        <v>68435</v>
      </c>
      <c r="F40" s="4">
        <v>71459</v>
      </c>
      <c r="G40" s="4">
        <v>73308</v>
      </c>
      <c r="H40" s="4">
        <v>75641</v>
      </c>
      <c r="I40" s="4">
        <v>76289</v>
      </c>
      <c r="J40" s="4">
        <v>76756</v>
      </c>
      <c r="K40" s="4">
        <v>79509</v>
      </c>
      <c r="L40" s="4">
        <v>82639</v>
      </c>
      <c r="M40" s="4">
        <v>88865</v>
      </c>
      <c r="N40" s="4">
        <v>93182</v>
      </c>
      <c r="O40" s="4">
        <v>100072</v>
      </c>
      <c r="P40" s="4">
        <v>106191</v>
      </c>
    </row>
    <row r="41" spans="2:16" x14ac:dyDescent="0.35">
      <c r="B41" s="2" t="s">
        <v>278</v>
      </c>
      <c r="C41" s="4">
        <v>1246426</v>
      </c>
      <c r="D41" s="4">
        <v>1347013</v>
      </c>
      <c r="E41" s="4">
        <v>1335601</v>
      </c>
      <c r="F41" s="4">
        <v>1317363</v>
      </c>
      <c r="G41" s="4">
        <v>1348811</v>
      </c>
      <c r="H41" s="4">
        <v>1367222</v>
      </c>
      <c r="I41" s="4">
        <v>1413756</v>
      </c>
      <c r="J41" s="4">
        <v>1442485</v>
      </c>
      <c r="K41" s="4">
        <v>1481748</v>
      </c>
      <c r="L41" s="4">
        <v>1540177</v>
      </c>
      <c r="M41" s="4">
        <v>1626034</v>
      </c>
      <c r="N41" s="4">
        <v>2559142</v>
      </c>
      <c r="O41" s="4">
        <v>2838843</v>
      </c>
      <c r="P41" s="4">
        <v>2064676</v>
      </c>
    </row>
    <row r="42" spans="2:16" x14ac:dyDescent="0.35">
      <c r="B42" s="2" t="s">
        <v>779</v>
      </c>
      <c r="C42" s="4">
        <v>188669</v>
      </c>
      <c r="D42" s="4">
        <v>197186</v>
      </c>
      <c r="E42" s="4">
        <v>205089</v>
      </c>
      <c r="F42" s="4">
        <v>218391</v>
      </c>
      <c r="G42" s="4">
        <v>229222</v>
      </c>
      <c r="H42" s="4">
        <v>235580</v>
      </c>
      <c r="I42" s="4">
        <v>244201</v>
      </c>
      <c r="J42" s="4">
        <v>245621</v>
      </c>
      <c r="K42" s="4">
        <v>251060</v>
      </c>
      <c r="L42" s="4">
        <v>259908</v>
      </c>
      <c r="M42" s="4">
        <v>271692</v>
      </c>
      <c r="N42" s="4">
        <v>281501</v>
      </c>
      <c r="O42" s="4">
        <v>284279</v>
      </c>
      <c r="P42" s="4">
        <v>303383</v>
      </c>
    </row>
    <row r="43" spans="2:16" x14ac:dyDescent="0.35">
      <c r="B43" s="2" t="s">
        <v>780</v>
      </c>
      <c r="C43" s="4">
        <v>581172</v>
      </c>
      <c r="D43" s="4">
        <v>590158</v>
      </c>
      <c r="E43" s="4">
        <v>607975</v>
      </c>
      <c r="F43" s="4">
        <v>650915</v>
      </c>
      <c r="G43" s="4">
        <v>685439</v>
      </c>
      <c r="H43" s="4">
        <v>720597</v>
      </c>
      <c r="I43" s="4">
        <v>755559</v>
      </c>
      <c r="J43" s="4">
        <v>782642</v>
      </c>
      <c r="K43" s="4">
        <v>812970</v>
      </c>
      <c r="L43" s="4">
        <v>859352</v>
      </c>
      <c r="M43" s="4">
        <v>917600</v>
      </c>
      <c r="N43" s="4">
        <v>967449</v>
      </c>
      <c r="O43" s="4">
        <v>1007802</v>
      </c>
      <c r="P43" s="4">
        <v>1103494</v>
      </c>
    </row>
    <row r="44" spans="2:16" x14ac:dyDescent="0.35">
      <c r="B44" s="2" t="s">
        <v>781</v>
      </c>
      <c r="C44" s="4">
        <v>246900</v>
      </c>
      <c r="D44" s="4">
        <v>262258</v>
      </c>
      <c r="E44" s="4">
        <v>263432</v>
      </c>
      <c r="F44" s="4">
        <v>265561</v>
      </c>
      <c r="G44" s="4">
        <v>270705</v>
      </c>
      <c r="H44" s="4">
        <v>270492</v>
      </c>
      <c r="I44" s="4">
        <v>275557</v>
      </c>
      <c r="J44" s="4">
        <v>274758</v>
      </c>
      <c r="K44" s="4">
        <v>278922</v>
      </c>
      <c r="L44" s="4">
        <v>279502</v>
      </c>
      <c r="M44" s="4">
        <v>290061</v>
      </c>
      <c r="N44" s="4">
        <v>618289</v>
      </c>
      <c r="O44" s="4">
        <v>974739</v>
      </c>
      <c r="P44" s="4">
        <v>436600</v>
      </c>
    </row>
    <row r="45" spans="2:16" x14ac:dyDescent="0.35">
      <c r="B45" s="2" t="s">
        <v>782</v>
      </c>
      <c r="C45" s="4">
        <v>141309</v>
      </c>
      <c r="D45" s="4">
        <v>149939</v>
      </c>
      <c r="E45" s="4">
        <v>107388</v>
      </c>
      <c r="F45" s="4">
        <v>84015</v>
      </c>
      <c r="G45" s="4">
        <v>62634</v>
      </c>
      <c r="H45" s="4">
        <v>35548</v>
      </c>
      <c r="I45" s="4">
        <v>32333</v>
      </c>
      <c r="J45" s="4">
        <v>32209</v>
      </c>
      <c r="K45" s="4">
        <v>30666</v>
      </c>
      <c r="L45" s="4">
        <v>28097</v>
      </c>
      <c r="M45" s="4">
        <v>27924</v>
      </c>
      <c r="N45" s="4">
        <v>536107</v>
      </c>
      <c r="O45" s="4">
        <v>327878</v>
      </c>
      <c r="P45" s="4">
        <v>22567</v>
      </c>
    </row>
    <row r="46" spans="2:16" x14ac:dyDescent="0.35">
      <c r="B46" s="2" t="s">
        <v>783</v>
      </c>
      <c r="C46" s="4">
        <v>88376</v>
      </c>
      <c r="D46" s="4">
        <v>147472</v>
      </c>
      <c r="E46" s="4">
        <v>151716</v>
      </c>
      <c r="F46" s="4">
        <v>98481</v>
      </c>
      <c r="G46" s="4">
        <v>100811</v>
      </c>
      <c r="H46" s="4">
        <v>105005</v>
      </c>
      <c r="I46" s="4">
        <v>106106</v>
      </c>
      <c r="J46" s="4">
        <v>107255</v>
      </c>
      <c r="K46" s="4">
        <v>108131</v>
      </c>
      <c r="L46" s="4">
        <v>113317</v>
      </c>
      <c r="M46" s="4">
        <v>118756</v>
      </c>
      <c r="N46" s="4">
        <v>155795</v>
      </c>
      <c r="O46" s="4">
        <v>244145</v>
      </c>
      <c r="P46" s="4">
        <v>198632</v>
      </c>
    </row>
    <row r="47" spans="2:16" x14ac:dyDescent="0.35">
      <c r="B47" s="2" t="s">
        <v>784</v>
      </c>
      <c r="C47" s="4">
        <v>3485240</v>
      </c>
      <c r="D47" s="4">
        <v>3764625</v>
      </c>
      <c r="E47" s="4">
        <v>3807750</v>
      </c>
      <c r="F47" s="4">
        <v>3773503</v>
      </c>
      <c r="G47" s="4">
        <v>3770255</v>
      </c>
      <c r="H47" s="4">
        <v>3888437</v>
      </c>
      <c r="I47" s="4">
        <v>4005825</v>
      </c>
      <c r="J47" s="4">
        <v>4127974</v>
      </c>
      <c r="K47" s="4">
        <v>4240545</v>
      </c>
      <c r="L47" s="4">
        <v>4489479</v>
      </c>
      <c r="M47" s="4">
        <v>4748567</v>
      </c>
      <c r="N47" s="4">
        <v>6669637</v>
      </c>
      <c r="O47" s="4">
        <v>7128557</v>
      </c>
      <c r="P47" s="4">
        <v>6038511</v>
      </c>
    </row>
    <row r="48" spans="2:16" x14ac:dyDescent="0.35">
      <c r="B48" s="2" t="s">
        <v>274</v>
      </c>
      <c r="C48" s="4">
        <v>450324</v>
      </c>
      <c r="D48" s="4">
        <v>481652</v>
      </c>
      <c r="E48" s="4">
        <v>525935</v>
      </c>
      <c r="F48" s="4">
        <v>526211</v>
      </c>
      <c r="G48" s="4">
        <v>516525</v>
      </c>
      <c r="H48" s="4">
        <v>536453</v>
      </c>
      <c r="I48" s="4">
        <v>527736</v>
      </c>
      <c r="J48" s="4">
        <v>557586</v>
      </c>
      <c r="K48" s="4">
        <v>577329</v>
      </c>
      <c r="L48" s="4">
        <v>646984</v>
      </c>
      <c r="M48" s="4">
        <v>687252</v>
      </c>
      <c r="N48" s="4">
        <v>647480</v>
      </c>
      <c r="O48" s="4">
        <v>702910</v>
      </c>
      <c r="P48" s="4">
        <v>887197</v>
      </c>
    </row>
    <row r="49" spans="2:16" x14ac:dyDescent="0.35">
      <c r="B49" s="2" t="s">
        <v>754</v>
      </c>
      <c r="C49" s="4">
        <v>80211</v>
      </c>
      <c r="D49" s="4">
        <v>81892</v>
      </c>
      <c r="E49" s="4">
        <v>86443</v>
      </c>
      <c r="F49" s="4">
        <v>88217</v>
      </c>
      <c r="G49" s="4">
        <v>84924</v>
      </c>
      <c r="H49" s="4">
        <v>83851</v>
      </c>
      <c r="I49" s="4">
        <v>82738</v>
      </c>
      <c r="J49" s="4">
        <v>86226</v>
      </c>
      <c r="K49" s="4">
        <v>84996</v>
      </c>
      <c r="L49" s="4">
        <v>88916</v>
      </c>
      <c r="M49" s="4">
        <v>90969</v>
      </c>
      <c r="N49" s="4">
        <v>99709</v>
      </c>
      <c r="O49" s="4">
        <v>106706</v>
      </c>
      <c r="P49" s="4">
        <v>137564</v>
      </c>
    </row>
    <row r="50" spans="2:16" x14ac:dyDescent="0.35">
      <c r="B50" s="2" t="s">
        <v>755</v>
      </c>
      <c r="C50" s="4">
        <v>15580</v>
      </c>
      <c r="D50" s="4">
        <v>18273</v>
      </c>
      <c r="E50" s="4">
        <v>14051</v>
      </c>
      <c r="F50" s="4">
        <v>15370</v>
      </c>
      <c r="G50" s="4">
        <v>15279</v>
      </c>
      <c r="H50" s="4">
        <v>13510</v>
      </c>
      <c r="I50" s="4">
        <v>15716</v>
      </c>
      <c r="J50" s="4">
        <v>17057</v>
      </c>
      <c r="K50" s="4">
        <v>15638</v>
      </c>
      <c r="L50" s="4">
        <v>17439</v>
      </c>
      <c r="M50" s="4">
        <v>18919</v>
      </c>
      <c r="N50" s="4">
        <v>26384</v>
      </c>
      <c r="O50" s="4">
        <v>21634</v>
      </c>
      <c r="P50" s="4">
        <v>23946</v>
      </c>
    </row>
    <row r="51" spans="2:16" x14ac:dyDescent="0.35">
      <c r="B51" s="2" t="s">
        <v>756</v>
      </c>
      <c r="C51" s="4">
        <v>354533</v>
      </c>
      <c r="D51" s="4">
        <v>381487</v>
      </c>
      <c r="E51" s="4">
        <v>425442</v>
      </c>
      <c r="F51" s="4">
        <v>422624</v>
      </c>
      <c r="G51" s="4">
        <v>416326</v>
      </c>
      <c r="H51" s="4">
        <v>439092</v>
      </c>
      <c r="I51" s="4">
        <v>429282</v>
      </c>
      <c r="J51" s="4">
        <v>454304</v>
      </c>
      <c r="K51" s="4">
        <v>476695</v>
      </c>
      <c r="L51" s="4">
        <v>540629</v>
      </c>
      <c r="M51" s="4">
        <v>577364</v>
      </c>
      <c r="N51" s="4">
        <v>521387</v>
      </c>
      <c r="O51" s="4">
        <v>574570</v>
      </c>
      <c r="P51" s="4">
        <v>725688</v>
      </c>
    </row>
    <row r="52" spans="2:16" x14ac:dyDescent="0.35">
      <c r="B52" s="2" t="s">
        <v>785</v>
      </c>
      <c r="C52" s="4">
        <v>0</v>
      </c>
      <c r="D52" s="4">
        <v>0</v>
      </c>
      <c r="E52" s="4">
        <v>0</v>
      </c>
      <c r="F52" s="4">
        <v>0</v>
      </c>
      <c r="G52" s="4">
        <v>0</v>
      </c>
      <c r="H52" s="4">
        <v>0</v>
      </c>
      <c r="I52" s="4">
        <v>0</v>
      </c>
      <c r="J52" s="4">
        <v>0</v>
      </c>
      <c r="K52" s="4">
        <v>0</v>
      </c>
      <c r="L52" s="4">
        <v>0</v>
      </c>
      <c r="M52" s="2">
        <v>0</v>
      </c>
      <c r="N52" s="2">
        <v>0</v>
      </c>
      <c r="O52" s="2">
        <v>0</v>
      </c>
      <c r="P52" s="2">
        <v>0</v>
      </c>
    </row>
    <row r="53" spans="2:16" x14ac:dyDescent="0.35">
      <c r="B53" s="2" t="s">
        <v>275</v>
      </c>
      <c r="C53" s="4">
        <v>615652</v>
      </c>
      <c r="D53" s="4">
        <v>652957</v>
      </c>
      <c r="E53" s="4">
        <v>663035</v>
      </c>
      <c r="F53" s="4">
        <v>651600</v>
      </c>
      <c r="G53" s="4">
        <v>611601</v>
      </c>
      <c r="H53" s="4">
        <v>598541</v>
      </c>
      <c r="I53" s="4">
        <v>586856</v>
      </c>
      <c r="J53" s="4">
        <v>588838</v>
      </c>
      <c r="K53" s="4">
        <v>601987</v>
      </c>
      <c r="L53" s="4">
        <v>636068</v>
      </c>
      <c r="M53" s="4">
        <v>678965</v>
      </c>
      <c r="N53" s="4">
        <v>699258</v>
      </c>
      <c r="O53" s="4">
        <v>710656</v>
      </c>
      <c r="P53" s="4">
        <v>727450</v>
      </c>
    </row>
    <row r="54" spans="2:16" x14ac:dyDescent="0.35">
      <c r="B54" s="2" t="s">
        <v>264</v>
      </c>
      <c r="C54" s="4">
        <v>57111</v>
      </c>
      <c r="D54" s="4">
        <v>59220</v>
      </c>
      <c r="E54" s="4">
        <v>60255</v>
      </c>
      <c r="F54" s="4">
        <v>61788</v>
      </c>
      <c r="G54" s="4">
        <v>58508</v>
      </c>
      <c r="H54" s="4">
        <v>59058</v>
      </c>
      <c r="I54" s="4">
        <v>59240</v>
      </c>
      <c r="J54" s="4">
        <v>61125</v>
      </c>
      <c r="K54" s="4">
        <v>62205</v>
      </c>
      <c r="L54" s="4">
        <v>64219</v>
      </c>
      <c r="M54" s="4">
        <v>63993</v>
      </c>
      <c r="N54" s="4">
        <v>60593</v>
      </c>
      <c r="O54" s="4">
        <v>68024</v>
      </c>
      <c r="P54" s="4">
        <v>72845</v>
      </c>
    </row>
    <row r="55" spans="2:16" x14ac:dyDescent="0.35">
      <c r="B55" s="2" t="s">
        <v>758</v>
      </c>
      <c r="C55" s="4">
        <v>40476</v>
      </c>
      <c r="D55" s="4">
        <v>41902</v>
      </c>
      <c r="E55" s="4">
        <v>43257</v>
      </c>
      <c r="F55" s="4">
        <v>44388</v>
      </c>
      <c r="G55" s="4">
        <v>42796</v>
      </c>
      <c r="H55" s="4">
        <v>43048</v>
      </c>
      <c r="I55" s="4">
        <v>42526</v>
      </c>
      <c r="J55" s="4">
        <v>44680</v>
      </c>
      <c r="K55" s="4">
        <v>45328</v>
      </c>
      <c r="L55" s="4">
        <v>47061</v>
      </c>
      <c r="M55" s="4">
        <v>47496</v>
      </c>
      <c r="N55" s="4">
        <v>48120</v>
      </c>
      <c r="O55" s="4">
        <v>51054</v>
      </c>
      <c r="P55" s="4">
        <v>53372</v>
      </c>
    </row>
    <row r="56" spans="2:16" x14ac:dyDescent="0.35">
      <c r="B56" s="2" t="s">
        <v>759</v>
      </c>
      <c r="C56" s="4">
        <v>1083</v>
      </c>
      <c r="D56" s="4">
        <v>1014</v>
      </c>
      <c r="E56" s="4">
        <v>975</v>
      </c>
      <c r="F56" s="4">
        <v>909</v>
      </c>
      <c r="G56" s="4">
        <v>851</v>
      </c>
      <c r="H56" s="4">
        <v>809</v>
      </c>
      <c r="I56" s="4">
        <v>763</v>
      </c>
      <c r="J56" s="4">
        <v>737</v>
      </c>
      <c r="K56" s="4">
        <v>840</v>
      </c>
      <c r="L56" s="4">
        <v>804</v>
      </c>
      <c r="M56" s="2">
        <v>785</v>
      </c>
      <c r="N56" s="2">
        <v>841</v>
      </c>
      <c r="O56" s="2">
        <v>833</v>
      </c>
      <c r="P56" s="2">
        <v>869</v>
      </c>
    </row>
    <row r="57" spans="2:16" x14ac:dyDescent="0.35">
      <c r="B57" s="2" t="s">
        <v>760</v>
      </c>
      <c r="C57" s="4">
        <v>8724</v>
      </c>
      <c r="D57" s="4">
        <v>9332</v>
      </c>
      <c r="E57" s="4">
        <v>9221</v>
      </c>
      <c r="F57" s="4">
        <v>9278</v>
      </c>
      <c r="G57" s="4">
        <v>7315</v>
      </c>
      <c r="H57" s="4">
        <v>7367</v>
      </c>
      <c r="I57" s="4">
        <v>7881</v>
      </c>
      <c r="J57" s="4">
        <v>7852</v>
      </c>
      <c r="K57" s="4">
        <v>8248</v>
      </c>
      <c r="L57" s="4">
        <v>8563</v>
      </c>
      <c r="M57" s="4">
        <v>9015</v>
      </c>
      <c r="N57" s="4">
        <v>8804</v>
      </c>
      <c r="O57" s="4">
        <v>9000</v>
      </c>
      <c r="P57" s="4">
        <v>9562</v>
      </c>
    </row>
    <row r="58" spans="2:16" x14ac:dyDescent="0.35">
      <c r="B58" s="2" t="s">
        <v>761</v>
      </c>
      <c r="C58" s="4">
        <v>6828</v>
      </c>
      <c r="D58" s="4">
        <v>6972</v>
      </c>
      <c r="E58" s="4">
        <v>6803</v>
      </c>
      <c r="F58" s="4">
        <v>7214</v>
      </c>
      <c r="G58" s="4">
        <v>7546</v>
      </c>
      <c r="H58" s="4">
        <v>7834</v>
      </c>
      <c r="I58" s="4">
        <v>8071</v>
      </c>
      <c r="J58" s="4">
        <v>7856</v>
      </c>
      <c r="K58" s="4">
        <v>7789</v>
      </c>
      <c r="L58" s="4">
        <v>7790</v>
      </c>
      <c r="M58" s="4">
        <v>6698</v>
      </c>
      <c r="N58" s="4">
        <v>2827</v>
      </c>
      <c r="O58" s="4">
        <v>7136</v>
      </c>
      <c r="P58" s="4">
        <v>9043</v>
      </c>
    </row>
    <row r="59" spans="2:16" x14ac:dyDescent="0.35">
      <c r="B59" s="2" t="s">
        <v>265</v>
      </c>
      <c r="C59" s="4">
        <v>148985</v>
      </c>
      <c r="D59" s="4">
        <v>162371</v>
      </c>
      <c r="E59" s="4">
        <v>152728</v>
      </c>
      <c r="F59" s="4">
        <v>151161</v>
      </c>
      <c r="G59" s="4">
        <v>146567</v>
      </c>
      <c r="H59" s="4">
        <v>143532</v>
      </c>
      <c r="I59" s="4">
        <v>146381</v>
      </c>
      <c r="J59" s="4">
        <v>149203</v>
      </c>
      <c r="K59" s="4">
        <v>150351</v>
      </c>
      <c r="L59" s="4">
        <v>161300</v>
      </c>
      <c r="M59" s="4">
        <v>170930</v>
      </c>
      <c r="N59" s="4">
        <v>937511</v>
      </c>
      <c r="O59" s="4">
        <v>861282</v>
      </c>
      <c r="P59" s="4">
        <v>229595</v>
      </c>
    </row>
    <row r="60" spans="2:16" x14ac:dyDescent="0.35">
      <c r="B60" s="2" t="s">
        <v>762</v>
      </c>
      <c r="C60" s="4">
        <v>32278</v>
      </c>
      <c r="D60" s="4">
        <v>35256</v>
      </c>
      <c r="E60" s="4">
        <v>36943</v>
      </c>
      <c r="F60" s="4">
        <v>36836</v>
      </c>
      <c r="G60" s="4">
        <v>34960</v>
      </c>
      <c r="H60" s="4">
        <v>35508</v>
      </c>
      <c r="I60" s="4">
        <v>36860</v>
      </c>
      <c r="J60" s="4">
        <v>36527</v>
      </c>
      <c r="K60" s="4">
        <v>38168</v>
      </c>
      <c r="L60" s="4">
        <v>39914</v>
      </c>
      <c r="M60" s="4">
        <v>40491</v>
      </c>
      <c r="N60" s="4">
        <v>56630</v>
      </c>
      <c r="O60" s="4">
        <v>64615</v>
      </c>
      <c r="P60" s="4">
        <v>69525</v>
      </c>
    </row>
    <row r="61" spans="2:16" x14ac:dyDescent="0.35">
      <c r="B61" s="2" t="s">
        <v>763</v>
      </c>
      <c r="C61" s="4">
        <v>933</v>
      </c>
      <c r="D61" s="4">
        <v>978</v>
      </c>
      <c r="E61" s="4">
        <v>1337</v>
      </c>
      <c r="F61" s="4">
        <v>1549</v>
      </c>
      <c r="G61" s="4">
        <v>1145</v>
      </c>
      <c r="H61" s="4">
        <v>1232</v>
      </c>
      <c r="I61" s="4">
        <v>1073</v>
      </c>
      <c r="J61" s="4">
        <v>1104</v>
      </c>
      <c r="K61" s="4">
        <v>609</v>
      </c>
      <c r="L61" s="4">
        <v>486</v>
      </c>
      <c r="M61" s="2">
        <v>540</v>
      </c>
      <c r="N61" s="2">
        <v>654</v>
      </c>
      <c r="O61" s="4">
        <v>1866</v>
      </c>
      <c r="P61" s="2">
        <v>421</v>
      </c>
    </row>
    <row r="62" spans="2:16" x14ac:dyDescent="0.35">
      <c r="B62" s="2" t="s">
        <v>764</v>
      </c>
      <c r="C62" s="4">
        <v>18017</v>
      </c>
      <c r="D62" s="4">
        <v>19183</v>
      </c>
      <c r="E62" s="4">
        <v>20000</v>
      </c>
      <c r="F62" s="4">
        <v>20407</v>
      </c>
      <c r="G62" s="4">
        <v>19486</v>
      </c>
      <c r="H62" s="4">
        <v>19802</v>
      </c>
      <c r="I62" s="4">
        <v>21513</v>
      </c>
      <c r="J62" s="4">
        <v>21573</v>
      </c>
      <c r="K62" s="4">
        <v>22598</v>
      </c>
      <c r="L62" s="4">
        <v>24042</v>
      </c>
      <c r="M62" s="4">
        <v>23809</v>
      </c>
      <c r="N62" s="4">
        <v>22988</v>
      </c>
      <c r="O62" s="4">
        <v>26055</v>
      </c>
      <c r="P62" s="4">
        <v>27360</v>
      </c>
    </row>
    <row r="63" spans="2:16" x14ac:dyDescent="0.35">
      <c r="B63" s="2" t="s">
        <v>765</v>
      </c>
      <c r="C63" s="4">
        <v>11067</v>
      </c>
      <c r="D63" s="4">
        <v>12168</v>
      </c>
      <c r="E63" s="4">
        <v>13094</v>
      </c>
      <c r="F63" s="4">
        <v>12864</v>
      </c>
      <c r="G63" s="4">
        <v>12396</v>
      </c>
      <c r="H63" s="4">
        <v>12630</v>
      </c>
      <c r="I63" s="4">
        <v>12336</v>
      </c>
      <c r="J63" s="4">
        <v>11815</v>
      </c>
      <c r="K63" s="4">
        <v>12634</v>
      </c>
      <c r="L63" s="4">
        <v>12875</v>
      </c>
      <c r="M63" s="4">
        <v>13921</v>
      </c>
      <c r="N63" s="4">
        <v>13171</v>
      </c>
      <c r="O63" s="4">
        <v>14755</v>
      </c>
      <c r="P63" s="4">
        <v>16592</v>
      </c>
    </row>
    <row r="64" spans="2:16" x14ac:dyDescent="0.35">
      <c r="B64" s="2" t="s">
        <v>766</v>
      </c>
      <c r="C64" s="4">
        <v>2262</v>
      </c>
      <c r="D64" s="4">
        <v>2928</v>
      </c>
      <c r="E64" s="4">
        <v>2512</v>
      </c>
      <c r="F64" s="4">
        <v>2016</v>
      </c>
      <c r="G64" s="4">
        <v>1933</v>
      </c>
      <c r="H64" s="4">
        <v>1845</v>
      </c>
      <c r="I64" s="4">
        <v>1939</v>
      </c>
      <c r="J64" s="4">
        <v>2036</v>
      </c>
      <c r="K64" s="4">
        <v>2326</v>
      </c>
      <c r="L64" s="4">
        <v>2512</v>
      </c>
      <c r="M64" s="4">
        <v>2221</v>
      </c>
      <c r="N64" s="4">
        <v>19817</v>
      </c>
      <c r="O64" s="4">
        <v>21939</v>
      </c>
      <c r="P64" s="4">
        <v>25153</v>
      </c>
    </row>
    <row r="65" spans="2:16" x14ac:dyDescent="0.35">
      <c r="B65" s="2" t="s">
        <v>767</v>
      </c>
      <c r="C65" s="4">
        <v>19875</v>
      </c>
      <c r="D65" s="4">
        <v>19006</v>
      </c>
      <c r="E65" s="4">
        <v>16983</v>
      </c>
      <c r="F65" s="4">
        <v>15825</v>
      </c>
      <c r="G65" s="4">
        <v>15194</v>
      </c>
      <c r="H65" s="4">
        <v>15703</v>
      </c>
      <c r="I65" s="4">
        <v>15355</v>
      </c>
      <c r="J65" s="4">
        <v>14978</v>
      </c>
      <c r="K65" s="4">
        <v>14518</v>
      </c>
      <c r="L65" s="4">
        <v>15685</v>
      </c>
      <c r="M65" s="4">
        <v>16642</v>
      </c>
      <c r="N65" s="4">
        <v>17655</v>
      </c>
      <c r="O65" s="4">
        <v>19308</v>
      </c>
      <c r="P65" s="4">
        <v>19555</v>
      </c>
    </row>
    <row r="66" spans="2:16" x14ac:dyDescent="0.35">
      <c r="B66" s="2" t="s">
        <v>768</v>
      </c>
      <c r="C66" s="4">
        <v>96832</v>
      </c>
      <c r="D66" s="4">
        <v>108109</v>
      </c>
      <c r="E66" s="4">
        <v>98802</v>
      </c>
      <c r="F66" s="4">
        <v>98499</v>
      </c>
      <c r="G66" s="4">
        <v>96413</v>
      </c>
      <c r="H66" s="4">
        <v>92321</v>
      </c>
      <c r="I66" s="4">
        <v>94166</v>
      </c>
      <c r="J66" s="4">
        <v>97698</v>
      </c>
      <c r="K66" s="4">
        <v>97663</v>
      </c>
      <c r="L66" s="4">
        <v>105700</v>
      </c>
      <c r="M66" s="4">
        <v>113798</v>
      </c>
      <c r="N66" s="4">
        <v>863226</v>
      </c>
      <c r="O66" s="4">
        <v>777360</v>
      </c>
      <c r="P66" s="4">
        <v>140515</v>
      </c>
    </row>
    <row r="67" spans="2:16" x14ac:dyDescent="0.35">
      <c r="B67" s="2" t="s">
        <v>769</v>
      </c>
      <c r="C67" s="4">
        <v>37572</v>
      </c>
      <c r="D67" s="4">
        <v>35303</v>
      </c>
      <c r="E67" s="4">
        <v>34833</v>
      </c>
      <c r="F67" s="4">
        <v>34786</v>
      </c>
      <c r="G67" s="4">
        <v>36398</v>
      </c>
      <c r="H67" s="4">
        <v>35182</v>
      </c>
      <c r="I67" s="4">
        <v>34125</v>
      </c>
      <c r="J67" s="4">
        <v>35536</v>
      </c>
      <c r="K67" s="4">
        <v>37541</v>
      </c>
      <c r="L67" s="4">
        <v>42346</v>
      </c>
      <c r="M67" s="4">
        <v>43143</v>
      </c>
      <c r="N67" s="4">
        <v>763672</v>
      </c>
      <c r="O67" s="4">
        <v>695083</v>
      </c>
      <c r="P67" s="4">
        <v>82877</v>
      </c>
    </row>
    <row r="68" spans="2:16" x14ac:dyDescent="0.35">
      <c r="B68" s="2" t="s">
        <v>770</v>
      </c>
      <c r="C68" s="4">
        <v>21831</v>
      </c>
      <c r="D68" s="4">
        <v>25494</v>
      </c>
      <c r="E68" s="4">
        <v>21158</v>
      </c>
      <c r="F68" s="4">
        <v>21265</v>
      </c>
      <c r="G68" s="4">
        <v>21070</v>
      </c>
      <c r="H68" s="4">
        <v>19698</v>
      </c>
      <c r="I68" s="4">
        <v>21616</v>
      </c>
      <c r="J68" s="4">
        <v>22983</v>
      </c>
      <c r="K68" s="4">
        <v>22174</v>
      </c>
      <c r="L68" s="4">
        <v>24815</v>
      </c>
      <c r="M68" s="4">
        <v>33461</v>
      </c>
      <c r="N68" s="4">
        <v>57875</v>
      </c>
      <c r="O68" s="4">
        <v>39133</v>
      </c>
      <c r="P68" s="4">
        <v>28956</v>
      </c>
    </row>
    <row r="69" spans="2:16" x14ac:dyDescent="0.35">
      <c r="B69" s="2" t="s">
        <v>771</v>
      </c>
      <c r="C69" s="4">
        <v>15547</v>
      </c>
      <c r="D69" s="4">
        <v>22265</v>
      </c>
      <c r="E69" s="4">
        <v>18985</v>
      </c>
      <c r="F69" s="4">
        <v>17926</v>
      </c>
      <c r="G69" s="4">
        <v>15255</v>
      </c>
      <c r="H69" s="4">
        <v>14218</v>
      </c>
      <c r="I69" s="4">
        <v>15331</v>
      </c>
      <c r="J69" s="4">
        <v>14998</v>
      </c>
      <c r="K69" s="4">
        <v>13574</v>
      </c>
      <c r="L69" s="4">
        <v>14208</v>
      </c>
      <c r="M69" s="4">
        <v>13314</v>
      </c>
      <c r="N69" s="4">
        <v>16149</v>
      </c>
      <c r="O69" s="4">
        <v>14237</v>
      </c>
      <c r="P69" s="4">
        <v>-2295</v>
      </c>
    </row>
    <row r="70" spans="2:16" x14ac:dyDescent="0.35">
      <c r="B70" s="2" t="s">
        <v>772</v>
      </c>
      <c r="C70" s="4">
        <v>21946</v>
      </c>
      <c r="D70" s="4">
        <v>25116</v>
      </c>
      <c r="E70" s="4">
        <v>23881</v>
      </c>
      <c r="F70" s="4">
        <v>24572</v>
      </c>
      <c r="G70" s="4">
        <v>23726</v>
      </c>
      <c r="H70" s="4">
        <v>23239</v>
      </c>
      <c r="I70" s="4">
        <v>23111</v>
      </c>
      <c r="J70" s="4">
        <v>24199</v>
      </c>
      <c r="K70" s="4">
        <v>24406</v>
      </c>
      <c r="L70" s="4">
        <v>24360</v>
      </c>
      <c r="M70" s="4">
        <v>23897</v>
      </c>
      <c r="N70" s="4">
        <v>25558</v>
      </c>
      <c r="O70" s="4">
        <v>28969</v>
      </c>
      <c r="P70" s="4">
        <v>31003</v>
      </c>
    </row>
    <row r="71" spans="2:16" x14ac:dyDescent="0.35">
      <c r="B71" s="2" t="s">
        <v>773</v>
      </c>
      <c r="C71" s="4">
        <v>-64</v>
      </c>
      <c r="D71" s="4">
        <v>-70</v>
      </c>
      <c r="E71" s="4">
        <v>-56</v>
      </c>
      <c r="F71" s="4">
        <v>-51</v>
      </c>
      <c r="G71" s="4">
        <v>-35</v>
      </c>
      <c r="H71" s="4">
        <v>-17</v>
      </c>
      <c r="I71" s="4">
        <v>-18</v>
      </c>
      <c r="J71" s="4">
        <v>-19</v>
      </c>
      <c r="K71" s="4">
        <v>-32</v>
      </c>
      <c r="L71" s="4">
        <v>-29</v>
      </c>
      <c r="M71" s="2">
        <v>-17</v>
      </c>
      <c r="N71" s="2">
        <v>-28</v>
      </c>
      <c r="O71" s="2">
        <v>-63</v>
      </c>
      <c r="P71" s="2">
        <v>-27</v>
      </c>
    </row>
    <row r="72" spans="2:16" x14ac:dyDescent="0.35">
      <c r="B72" s="2" t="s">
        <v>276</v>
      </c>
      <c r="C72" s="4">
        <v>53152</v>
      </c>
      <c r="D72" s="4">
        <v>60510</v>
      </c>
      <c r="E72" s="4">
        <v>62458</v>
      </c>
      <c r="F72" s="4">
        <v>58378</v>
      </c>
      <c r="G72" s="4">
        <v>57090</v>
      </c>
      <c r="H72" s="4">
        <v>57199</v>
      </c>
      <c r="I72" s="4">
        <v>58025</v>
      </c>
      <c r="J72" s="4">
        <v>59966</v>
      </c>
      <c r="K72" s="4">
        <v>59962</v>
      </c>
      <c r="L72" s="4">
        <v>59905</v>
      </c>
      <c r="M72" s="4">
        <v>60547</v>
      </c>
      <c r="N72" s="4">
        <v>63866</v>
      </c>
      <c r="O72" s="4">
        <v>71821</v>
      </c>
      <c r="P72" s="4">
        <v>72207</v>
      </c>
    </row>
    <row r="73" spans="2:16" x14ac:dyDescent="0.35">
      <c r="B73" s="2" t="s">
        <v>198</v>
      </c>
      <c r="C73" s="4">
        <v>870227</v>
      </c>
      <c r="D73" s="4">
        <v>919907</v>
      </c>
      <c r="E73" s="4">
        <v>927638</v>
      </c>
      <c r="F73" s="4">
        <v>944504</v>
      </c>
      <c r="G73" s="4">
        <v>979795</v>
      </c>
      <c r="H73" s="4">
        <v>1080987</v>
      </c>
      <c r="I73" s="4">
        <v>1173783</v>
      </c>
      <c r="J73" s="4">
        <v>1229647</v>
      </c>
      <c r="K73" s="4">
        <v>1269448</v>
      </c>
      <c r="L73" s="4">
        <v>1346340</v>
      </c>
      <c r="M73" s="4">
        <v>1436273</v>
      </c>
      <c r="N73" s="4">
        <v>1661485</v>
      </c>
      <c r="O73" s="4">
        <v>1760428</v>
      </c>
      <c r="P73" s="4">
        <v>1896765</v>
      </c>
    </row>
    <row r="74" spans="2:16" x14ac:dyDescent="0.35">
      <c r="B74" s="2" t="s">
        <v>277</v>
      </c>
      <c r="C74" s="4">
        <v>5217</v>
      </c>
      <c r="D74" s="4">
        <v>5728</v>
      </c>
      <c r="E74" s="4">
        <v>5281</v>
      </c>
      <c r="F74" s="4">
        <v>5399</v>
      </c>
      <c r="G74" s="4">
        <v>5339</v>
      </c>
      <c r="H74" s="4">
        <v>5284</v>
      </c>
      <c r="I74" s="4">
        <v>5095</v>
      </c>
      <c r="J74" s="4">
        <v>5343</v>
      </c>
      <c r="K74" s="4">
        <v>5341</v>
      </c>
      <c r="L74" s="4">
        <v>5533</v>
      </c>
      <c r="M74" s="4">
        <v>5708</v>
      </c>
      <c r="N74" s="4">
        <v>5991</v>
      </c>
      <c r="O74" s="4">
        <v>6342</v>
      </c>
      <c r="P74" s="4">
        <v>6505</v>
      </c>
    </row>
    <row r="75" spans="2:16" x14ac:dyDescent="0.35">
      <c r="B75" s="2" t="s">
        <v>138</v>
      </c>
      <c r="C75" s="4">
        <v>105633</v>
      </c>
      <c r="D75" s="4">
        <v>138647</v>
      </c>
      <c r="E75" s="4">
        <v>135800</v>
      </c>
      <c r="F75" s="4">
        <v>117136</v>
      </c>
      <c r="G75" s="4">
        <v>110060</v>
      </c>
      <c r="H75" s="4">
        <v>108076</v>
      </c>
      <c r="I75" s="4">
        <v>107208</v>
      </c>
      <c r="J75" s="4">
        <v>104358</v>
      </c>
      <c r="K75" s="4">
        <v>103303</v>
      </c>
      <c r="L75" s="4">
        <v>105256</v>
      </c>
      <c r="M75" s="4">
        <v>103866</v>
      </c>
      <c r="N75" s="4">
        <v>117345</v>
      </c>
      <c r="O75" s="4">
        <v>169652</v>
      </c>
      <c r="P75" s="4">
        <v>179067</v>
      </c>
    </row>
    <row r="76" spans="2:16" x14ac:dyDescent="0.35">
      <c r="B76" s="2" t="s">
        <v>775</v>
      </c>
      <c r="C76" s="4">
        <v>57141</v>
      </c>
      <c r="D76" s="4">
        <v>66760</v>
      </c>
      <c r="E76" s="4">
        <v>56188</v>
      </c>
      <c r="F76" s="4">
        <v>40858</v>
      </c>
      <c r="G76" s="4">
        <v>39276</v>
      </c>
      <c r="H76" s="4">
        <v>38003</v>
      </c>
      <c r="I76" s="4">
        <v>38194</v>
      </c>
      <c r="J76" s="4">
        <v>37502</v>
      </c>
      <c r="K76" s="4">
        <v>37818</v>
      </c>
      <c r="L76" s="4">
        <v>39388</v>
      </c>
      <c r="M76" s="4">
        <v>37228</v>
      </c>
      <c r="N76" s="4">
        <v>52442</v>
      </c>
      <c r="O76" s="4">
        <v>105484</v>
      </c>
      <c r="P76" s="4">
        <v>114645</v>
      </c>
    </row>
    <row r="77" spans="2:16" x14ac:dyDescent="0.35">
      <c r="B77" s="2" t="s">
        <v>776</v>
      </c>
      <c r="C77" s="4">
        <v>37578</v>
      </c>
      <c r="D77" s="4">
        <v>49628</v>
      </c>
      <c r="E77" s="4">
        <v>52408</v>
      </c>
      <c r="F77" s="4">
        <v>47776</v>
      </c>
      <c r="G77" s="4">
        <v>43079</v>
      </c>
      <c r="H77" s="4">
        <v>41970</v>
      </c>
      <c r="I77" s="4">
        <v>40379</v>
      </c>
      <c r="J77" s="4">
        <v>39035</v>
      </c>
      <c r="K77" s="4">
        <v>37817</v>
      </c>
      <c r="L77" s="4">
        <v>39081</v>
      </c>
      <c r="M77" s="4">
        <v>39593</v>
      </c>
      <c r="N77" s="4">
        <v>38594</v>
      </c>
      <c r="O77" s="4">
        <v>37313</v>
      </c>
      <c r="P77" s="4">
        <v>38496</v>
      </c>
    </row>
    <row r="78" spans="2:16" x14ac:dyDescent="0.35">
      <c r="B78" s="2" t="s">
        <v>783</v>
      </c>
      <c r="C78" s="4">
        <v>10914</v>
      </c>
      <c r="D78" s="4">
        <v>22258</v>
      </c>
      <c r="E78" s="4">
        <v>27204</v>
      </c>
      <c r="F78" s="4">
        <v>28501</v>
      </c>
      <c r="G78" s="4">
        <v>27705</v>
      </c>
      <c r="H78" s="4">
        <v>28103</v>
      </c>
      <c r="I78" s="4">
        <v>28635</v>
      </c>
      <c r="J78" s="4">
        <v>27821</v>
      </c>
      <c r="K78" s="4">
        <v>27668</v>
      </c>
      <c r="L78" s="4">
        <v>26787</v>
      </c>
      <c r="M78" s="4">
        <v>27045</v>
      </c>
      <c r="N78" s="4">
        <v>26309</v>
      </c>
      <c r="O78" s="4">
        <v>26856</v>
      </c>
      <c r="P78" s="4">
        <v>25926</v>
      </c>
    </row>
    <row r="79" spans="2:16" x14ac:dyDescent="0.35">
      <c r="B79" s="2" t="s">
        <v>278</v>
      </c>
      <c r="C79" s="4">
        <v>1178938</v>
      </c>
      <c r="D79" s="4">
        <v>1283632</v>
      </c>
      <c r="E79" s="4">
        <v>1274620</v>
      </c>
      <c r="F79" s="4">
        <v>1257326</v>
      </c>
      <c r="G79" s="4">
        <v>1284770</v>
      </c>
      <c r="H79" s="4">
        <v>1299308</v>
      </c>
      <c r="I79" s="4">
        <v>1341501</v>
      </c>
      <c r="J79" s="4">
        <v>1371909</v>
      </c>
      <c r="K79" s="4">
        <v>1410619</v>
      </c>
      <c r="L79" s="4">
        <v>1463874</v>
      </c>
      <c r="M79" s="4">
        <v>1541032</v>
      </c>
      <c r="N79" s="4">
        <v>2476107</v>
      </c>
      <c r="O79" s="4">
        <v>2777442</v>
      </c>
      <c r="P79" s="4">
        <v>1966880</v>
      </c>
    </row>
    <row r="80" spans="2:16" x14ac:dyDescent="0.35">
      <c r="B80" s="2" t="s">
        <v>779</v>
      </c>
      <c r="C80" s="4">
        <v>169450</v>
      </c>
      <c r="D80" s="4">
        <v>178562</v>
      </c>
      <c r="E80" s="4">
        <v>187749</v>
      </c>
      <c r="F80" s="4">
        <v>201244</v>
      </c>
      <c r="G80" s="4">
        <v>212111</v>
      </c>
      <c r="H80" s="4">
        <v>218410</v>
      </c>
      <c r="I80" s="4">
        <v>227543</v>
      </c>
      <c r="J80" s="4">
        <v>229343</v>
      </c>
      <c r="K80" s="4">
        <v>235077</v>
      </c>
      <c r="L80" s="4">
        <v>243106</v>
      </c>
      <c r="M80" s="4">
        <v>253515</v>
      </c>
      <c r="N80" s="4">
        <v>262209</v>
      </c>
      <c r="O80" s="4">
        <v>265130</v>
      </c>
      <c r="P80" s="4">
        <v>284243</v>
      </c>
    </row>
    <row r="81" spans="2:16" x14ac:dyDescent="0.35">
      <c r="B81" s="2" t="s">
        <v>780</v>
      </c>
      <c r="C81" s="4">
        <v>581172</v>
      </c>
      <c r="D81" s="4">
        <v>590158</v>
      </c>
      <c r="E81" s="4">
        <v>607975</v>
      </c>
      <c r="F81" s="4">
        <v>650915</v>
      </c>
      <c r="G81" s="4">
        <v>685439</v>
      </c>
      <c r="H81" s="4">
        <v>720597</v>
      </c>
      <c r="I81" s="4">
        <v>755559</v>
      </c>
      <c r="J81" s="4">
        <v>782642</v>
      </c>
      <c r="K81" s="4">
        <v>812970</v>
      </c>
      <c r="L81" s="4">
        <v>859352</v>
      </c>
      <c r="M81" s="4">
        <v>917600</v>
      </c>
      <c r="N81" s="4">
        <v>967449</v>
      </c>
      <c r="O81" s="4">
        <v>1007802</v>
      </c>
      <c r="P81" s="4">
        <v>1103494</v>
      </c>
    </row>
    <row r="82" spans="2:16" x14ac:dyDescent="0.35">
      <c r="B82" s="2" t="s">
        <v>781</v>
      </c>
      <c r="C82" s="4">
        <v>187693</v>
      </c>
      <c r="D82" s="4">
        <v>207547</v>
      </c>
      <c r="E82" s="4">
        <v>209636</v>
      </c>
      <c r="F82" s="4">
        <v>212439</v>
      </c>
      <c r="G82" s="4">
        <v>214115</v>
      </c>
      <c r="H82" s="4">
        <v>210535</v>
      </c>
      <c r="I82" s="4">
        <v>211573</v>
      </c>
      <c r="J82" s="4">
        <v>211235</v>
      </c>
      <c r="K82" s="4">
        <v>212247</v>
      </c>
      <c r="L82" s="4">
        <v>208340</v>
      </c>
      <c r="M82" s="4">
        <v>209413</v>
      </c>
      <c r="N82" s="4">
        <v>529414</v>
      </c>
      <c r="O82" s="4">
        <v>892402</v>
      </c>
      <c r="P82" s="4">
        <v>323849</v>
      </c>
    </row>
    <row r="83" spans="2:16" x14ac:dyDescent="0.35">
      <c r="B83" s="2" t="s">
        <v>782</v>
      </c>
      <c r="C83" s="4">
        <v>145391</v>
      </c>
      <c r="D83" s="4">
        <v>154779</v>
      </c>
      <c r="E83" s="4">
        <v>111810</v>
      </c>
      <c r="F83" s="4">
        <v>88443</v>
      </c>
      <c r="G83" s="4">
        <v>66836</v>
      </c>
      <c r="H83" s="4">
        <v>39144</v>
      </c>
      <c r="I83" s="4">
        <v>35737</v>
      </c>
      <c r="J83" s="4">
        <v>35481</v>
      </c>
      <c r="K83" s="4">
        <v>33772</v>
      </c>
      <c r="L83" s="4">
        <v>31384</v>
      </c>
      <c r="M83" s="4">
        <v>31333</v>
      </c>
      <c r="N83" s="4">
        <v>541521</v>
      </c>
      <c r="O83" s="4">
        <v>336412</v>
      </c>
      <c r="P83" s="4">
        <v>28853</v>
      </c>
    </row>
    <row r="84" spans="2:16" x14ac:dyDescent="0.35">
      <c r="B84" s="2" t="s">
        <v>783</v>
      </c>
      <c r="C84" s="4">
        <v>95233</v>
      </c>
      <c r="D84" s="4">
        <v>152586</v>
      </c>
      <c r="E84" s="4">
        <v>157449</v>
      </c>
      <c r="F84" s="4">
        <v>104284</v>
      </c>
      <c r="G84" s="4">
        <v>106268</v>
      </c>
      <c r="H84" s="4">
        <v>110621</v>
      </c>
      <c r="I84" s="4">
        <v>111089</v>
      </c>
      <c r="J84" s="4">
        <v>113208</v>
      </c>
      <c r="K84" s="4">
        <v>116553</v>
      </c>
      <c r="L84" s="4">
        <v>121692</v>
      </c>
      <c r="M84" s="4">
        <v>129171</v>
      </c>
      <c r="N84" s="4">
        <v>175514</v>
      </c>
      <c r="O84" s="4">
        <v>275696</v>
      </c>
      <c r="P84" s="4">
        <v>226442</v>
      </c>
    </row>
    <row r="85" spans="2:16" x14ac:dyDescent="0.35">
      <c r="B85" s="2" t="s">
        <v>786</v>
      </c>
      <c r="C85" s="4">
        <v>2256873</v>
      </c>
      <c r="D85" s="4">
        <v>2300603</v>
      </c>
      <c r="E85" s="4">
        <v>2304212</v>
      </c>
      <c r="F85" s="4">
        <v>2338054</v>
      </c>
      <c r="G85" s="4">
        <v>2409390</v>
      </c>
      <c r="H85" s="4">
        <v>2492288</v>
      </c>
      <c r="I85" s="4">
        <v>2586773</v>
      </c>
      <c r="J85" s="4">
        <v>2667419</v>
      </c>
      <c r="K85" s="4">
        <v>2738369</v>
      </c>
      <c r="L85" s="4">
        <v>2843030</v>
      </c>
      <c r="M85" s="4">
        <v>2994708</v>
      </c>
      <c r="N85" s="4">
        <v>3129901</v>
      </c>
      <c r="O85" s="4">
        <v>3334566</v>
      </c>
      <c r="P85" s="4">
        <v>3602081</v>
      </c>
    </row>
    <row r="86" spans="2:16" x14ac:dyDescent="0.35">
      <c r="B86" s="2" t="s">
        <v>274</v>
      </c>
      <c r="C86" s="4">
        <v>441109</v>
      </c>
      <c r="D86" s="4">
        <v>442163</v>
      </c>
      <c r="E86" s="4">
        <v>437868</v>
      </c>
      <c r="F86" s="4">
        <v>452116</v>
      </c>
      <c r="G86" s="4">
        <v>447749</v>
      </c>
      <c r="H86" s="4">
        <v>442218</v>
      </c>
      <c r="I86" s="4">
        <v>450756</v>
      </c>
      <c r="J86" s="4">
        <v>463277</v>
      </c>
      <c r="K86" s="4">
        <v>477491</v>
      </c>
      <c r="L86" s="4">
        <v>481428</v>
      </c>
      <c r="M86" s="4">
        <v>515121</v>
      </c>
      <c r="N86" s="4">
        <v>525990</v>
      </c>
      <c r="O86" s="4">
        <v>541728</v>
      </c>
      <c r="P86" s="4">
        <v>538552</v>
      </c>
    </row>
    <row r="87" spans="2:16" x14ac:dyDescent="0.35">
      <c r="B87" s="2" t="s">
        <v>754</v>
      </c>
      <c r="C87" s="4">
        <v>32589</v>
      </c>
      <c r="D87" s="4">
        <v>32116</v>
      </c>
      <c r="E87" s="4">
        <v>31831</v>
      </c>
      <c r="F87" s="4">
        <v>31877</v>
      </c>
      <c r="G87" s="4">
        <v>33891</v>
      </c>
      <c r="H87" s="4">
        <v>35231</v>
      </c>
      <c r="I87" s="4">
        <v>36583</v>
      </c>
      <c r="J87" s="4">
        <v>37681</v>
      </c>
      <c r="K87" s="4">
        <v>38606</v>
      </c>
      <c r="L87" s="4">
        <v>40879</v>
      </c>
      <c r="M87" s="4">
        <v>43646</v>
      </c>
      <c r="N87" s="4">
        <v>47364</v>
      </c>
      <c r="O87" s="4">
        <v>50684</v>
      </c>
      <c r="P87" s="4">
        <v>54045</v>
      </c>
    </row>
    <row r="88" spans="2:16" x14ac:dyDescent="0.35">
      <c r="B88" s="2" t="s">
        <v>755</v>
      </c>
      <c r="C88" s="4">
        <v>36751</v>
      </c>
      <c r="D88" s="4">
        <v>36327</v>
      </c>
      <c r="E88" s="4">
        <v>34994</v>
      </c>
      <c r="F88" s="4">
        <v>33644</v>
      </c>
      <c r="G88" s="4">
        <v>34824</v>
      </c>
      <c r="H88" s="4">
        <v>35758</v>
      </c>
      <c r="I88" s="4">
        <v>36221</v>
      </c>
      <c r="J88" s="4">
        <v>37341</v>
      </c>
      <c r="K88" s="4">
        <v>39559</v>
      </c>
      <c r="L88" s="4">
        <v>41856</v>
      </c>
      <c r="M88" s="4">
        <v>42889</v>
      </c>
      <c r="N88" s="4">
        <v>42258</v>
      </c>
      <c r="O88" s="4">
        <v>42374</v>
      </c>
      <c r="P88" s="4">
        <v>46052</v>
      </c>
    </row>
    <row r="89" spans="2:16" x14ac:dyDescent="0.35">
      <c r="B89" s="2" t="s">
        <v>787</v>
      </c>
      <c r="C89" s="4">
        <v>267021</v>
      </c>
      <c r="D89" s="4">
        <v>266971</v>
      </c>
      <c r="E89" s="4">
        <v>265766</v>
      </c>
      <c r="F89" s="4">
        <v>281123</v>
      </c>
      <c r="G89" s="4">
        <v>270215</v>
      </c>
      <c r="H89" s="4">
        <v>262263</v>
      </c>
      <c r="I89" s="4">
        <v>268738</v>
      </c>
      <c r="J89" s="4">
        <v>282769</v>
      </c>
      <c r="K89" s="4">
        <v>290949</v>
      </c>
      <c r="L89" s="4">
        <v>286018</v>
      </c>
      <c r="M89" s="4">
        <v>306183</v>
      </c>
      <c r="N89" s="4">
        <v>293915</v>
      </c>
      <c r="O89" s="4">
        <v>280887</v>
      </c>
      <c r="P89" s="4">
        <v>247986</v>
      </c>
    </row>
    <row r="90" spans="2:16" x14ac:dyDescent="0.35">
      <c r="B90" s="2" t="s">
        <v>788</v>
      </c>
      <c r="C90" s="4">
        <v>104748</v>
      </c>
      <c r="D90" s="4">
        <v>106748</v>
      </c>
      <c r="E90" s="4">
        <v>105277</v>
      </c>
      <c r="F90" s="4">
        <v>105472</v>
      </c>
      <c r="G90" s="4">
        <v>108820</v>
      </c>
      <c r="H90" s="4">
        <v>108966</v>
      </c>
      <c r="I90" s="4">
        <v>109214</v>
      </c>
      <c r="J90" s="4">
        <v>105487</v>
      </c>
      <c r="K90" s="4">
        <v>108377</v>
      </c>
      <c r="L90" s="4">
        <v>112675</v>
      </c>
      <c r="M90" s="4">
        <v>122403</v>
      </c>
      <c r="N90" s="4">
        <v>142453</v>
      </c>
      <c r="O90" s="4">
        <v>167782</v>
      </c>
      <c r="P90" s="4">
        <v>190469</v>
      </c>
    </row>
    <row r="91" spans="2:16" x14ac:dyDescent="0.35">
      <c r="B91" s="2" t="s">
        <v>264</v>
      </c>
      <c r="C91" s="4">
        <v>277027</v>
      </c>
      <c r="D91" s="4">
        <v>280183</v>
      </c>
      <c r="E91" s="4">
        <v>279711</v>
      </c>
      <c r="F91" s="4">
        <v>278915</v>
      </c>
      <c r="G91" s="4">
        <v>287793</v>
      </c>
      <c r="H91" s="4">
        <v>297988</v>
      </c>
      <c r="I91" s="4">
        <v>308902</v>
      </c>
      <c r="J91" s="4">
        <v>315703</v>
      </c>
      <c r="K91" s="4">
        <v>323848</v>
      </c>
      <c r="L91" s="4">
        <v>342746</v>
      </c>
      <c r="M91" s="4">
        <v>360706</v>
      </c>
      <c r="N91" s="4">
        <v>373115</v>
      </c>
      <c r="O91" s="4">
        <v>388779</v>
      </c>
      <c r="P91" s="4">
        <v>413037</v>
      </c>
    </row>
    <row r="92" spans="2:16" x14ac:dyDescent="0.35">
      <c r="B92" s="2" t="s">
        <v>758</v>
      </c>
      <c r="C92" s="4">
        <v>107880</v>
      </c>
      <c r="D92" s="4">
        <v>110997</v>
      </c>
      <c r="E92" s="4">
        <v>111364</v>
      </c>
      <c r="F92" s="4">
        <v>111969</v>
      </c>
      <c r="G92" s="4">
        <v>115559</v>
      </c>
      <c r="H92" s="4">
        <v>119645</v>
      </c>
      <c r="I92" s="4">
        <v>124449</v>
      </c>
      <c r="J92" s="4">
        <v>127784</v>
      </c>
      <c r="K92" s="4">
        <v>132720</v>
      </c>
      <c r="L92" s="4">
        <v>141544</v>
      </c>
      <c r="M92" s="4">
        <v>148663</v>
      </c>
      <c r="N92" s="4">
        <v>155266</v>
      </c>
      <c r="O92" s="4">
        <v>162016</v>
      </c>
      <c r="P92" s="4">
        <v>171700</v>
      </c>
    </row>
    <row r="93" spans="2:16" x14ac:dyDescent="0.35">
      <c r="B93" s="2" t="s">
        <v>759</v>
      </c>
      <c r="C93" s="4">
        <v>44948</v>
      </c>
      <c r="D93" s="4">
        <v>45944</v>
      </c>
      <c r="E93" s="4">
        <v>46352</v>
      </c>
      <c r="F93" s="4">
        <v>46311</v>
      </c>
      <c r="G93" s="4">
        <v>48916</v>
      </c>
      <c r="H93" s="4">
        <v>50811</v>
      </c>
      <c r="I93" s="4">
        <v>52662</v>
      </c>
      <c r="J93" s="4">
        <v>54233</v>
      </c>
      <c r="K93" s="4">
        <v>55407</v>
      </c>
      <c r="L93" s="4">
        <v>59533</v>
      </c>
      <c r="M93" s="4">
        <v>63160</v>
      </c>
      <c r="N93" s="4">
        <v>65678</v>
      </c>
      <c r="O93" s="4">
        <v>70002</v>
      </c>
      <c r="P93" s="4">
        <v>74552</v>
      </c>
    </row>
    <row r="94" spans="2:16" x14ac:dyDescent="0.35">
      <c r="B94" s="2" t="s">
        <v>760</v>
      </c>
      <c r="C94" s="4">
        <v>46223</v>
      </c>
      <c r="D94" s="4">
        <v>46128</v>
      </c>
      <c r="E94" s="4">
        <v>45406</v>
      </c>
      <c r="F94" s="4">
        <v>44776</v>
      </c>
      <c r="G94" s="4">
        <v>45126</v>
      </c>
      <c r="H94" s="4">
        <v>46497</v>
      </c>
      <c r="I94" s="4">
        <v>48291</v>
      </c>
      <c r="J94" s="4">
        <v>49237</v>
      </c>
      <c r="K94" s="4">
        <v>49862</v>
      </c>
      <c r="L94" s="4">
        <v>52154</v>
      </c>
      <c r="M94" s="4">
        <v>55022</v>
      </c>
      <c r="N94" s="4">
        <v>56487</v>
      </c>
      <c r="O94" s="4">
        <v>58450</v>
      </c>
      <c r="P94" s="4">
        <v>61588</v>
      </c>
    </row>
    <row r="95" spans="2:16" x14ac:dyDescent="0.35">
      <c r="B95" s="2" t="s">
        <v>761</v>
      </c>
      <c r="C95" s="4">
        <v>77977</v>
      </c>
      <c r="D95" s="4">
        <v>77114</v>
      </c>
      <c r="E95" s="4">
        <v>76589</v>
      </c>
      <c r="F95" s="4">
        <v>75858</v>
      </c>
      <c r="G95" s="4">
        <v>78192</v>
      </c>
      <c r="H95" s="4">
        <v>81035</v>
      </c>
      <c r="I95" s="4">
        <v>83500</v>
      </c>
      <c r="J95" s="4">
        <v>84449</v>
      </c>
      <c r="K95" s="4">
        <v>85859</v>
      </c>
      <c r="L95" s="4">
        <v>89515</v>
      </c>
      <c r="M95" s="4">
        <v>93861</v>
      </c>
      <c r="N95" s="4">
        <v>95684</v>
      </c>
      <c r="O95" s="4">
        <v>98311</v>
      </c>
      <c r="P95" s="4">
        <v>105196</v>
      </c>
    </row>
    <row r="96" spans="2:16" x14ac:dyDescent="0.35">
      <c r="B96" s="2" t="s">
        <v>265</v>
      </c>
      <c r="C96" s="4">
        <v>168553</v>
      </c>
      <c r="D96" s="4">
        <v>167461</v>
      </c>
      <c r="E96" s="4">
        <v>170587</v>
      </c>
      <c r="F96" s="4">
        <v>174620</v>
      </c>
      <c r="G96" s="4">
        <v>178740</v>
      </c>
      <c r="H96" s="4">
        <v>181818</v>
      </c>
      <c r="I96" s="4">
        <v>184107</v>
      </c>
      <c r="J96" s="4">
        <v>186076</v>
      </c>
      <c r="K96" s="4">
        <v>191209</v>
      </c>
      <c r="L96" s="4">
        <v>201873</v>
      </c>
      <c r="M96" s="4">
        <v>212751</v>
      </c>
      <c r="N96" s="4">
        <v>217807</v>
      </c>
      <c r="O96" s="4">
        <v>233747</v>
      </c>
      <c r="P96" s="4">
        <v>255386</v>
      </c>
    </row>
    <row r="97" spans="2:16" x14ac:dyDescent="0.35">
      <c r="B97" s="2" t="s">
        <v>762</v>
      </c>
      <c r="C97" s="4">
        <v>122469</v>
      </c>
      <c r="D97" s="4">
        <v>122958</v>
      </c>
      <c r="E97" s="4">
        <v>126995</v>
      </c>
      <c r="F97" s="4">
        <v>130905</v>
      </c>
      <c r="G97" s="4">
        <v>136206</v>
      </c>
      <c r="H97" s="4">
        <v>139850</v>
      </c>
      <c r="I97" s="4">
        <v>141284</v>
      </c>
      <c r="J97" s="4">
        <v>142107</v>
      </c>
      <c r="K97" s="4">
        <v>145884</v>
      </c>
      <c r="L97" s="4">
        <v>153766</v>
      </c>
      <c r="M97" s="4">
        <v>160702</v>
      </c>
      <c r="N97" s="4">
        <v>162487</v>
      </c>
      <c r="O97" s="4">
        <v>174913</v>
      </c>
      <c r="P97" s="4">
        <v>192129</v>
      </c>
    </row>
    <row r="98" spans="2:16" x14ac:dyDescent="0.35">
      <c r="B98" s="2" t="s">
        <v>763</v>
      </c>
      <c r="C98" s="4">
        <v>122062</v>
      </c>
      <c r="D98" s="4">
        <v>122533</v>
      </c>
      <c r="E98" s="4">
        <v>126554</v>
      </c>
      <c r="F98" s="4">
        <v>130447</v>
      </c>
      <c r="G98" s="4">
        <v>135731</v>
      </c>
      <c r="H98" s="4">
        <v>139355</v>
      </c>
      <c r="I98" s="4">
        <v>140770</v>
      </c>
      <c r="J98" s="4">
        <v>141573</v>
      </c>
      <c r="K98" s="4">
        <v>145330</v>
      </c>
      <c r="L98" s="4">
        <v>153189</v>
      </c>
      <c r="M98" s="4">
        <v>160102</v>
      </c>
      <c r="N98" s="4">
        <v>161864</v>
      </c>
      <c r="O98" s="4">
        <v>174265</v>
      </c>
      <c r="P98" s="4">
        <v>191461</v>
      </c>
    </row>
    <row r="99" spans="2:16" x14ac:dyDescent="0.35">
      <c r="B99" s="2" t="s">
        <v>766</v>
      </c>
      <c r="C99" s="4">
        <v>407</v>
      </c>
      <c r="D99" s="4">
        <v>425</v>
      </c>
      <c r="E99" s="4">
        <v>441</v>
      </c>
      <c r="F99" s="4">
        <v>458</v>
      </c>
      <c r="G99" s="4">
        <v>476</v>
      </c>
      <c r="H99" s="4">
        <v>494</v>
      </c>
      <c r="I99" s="4">
        <v>514</v>
      </c>
      <c r="J99" s="4">
        <v>534</v>
      </c>
      <c r="K99" s="4">
        <v>555</v>
      </c>
      <c r="L99" s="4">
        <v>577</v>
      </c>
      <c r="M99" s="2">
        <v>600</v>
      </c>
      <c r="N99" s="2">
        <v>624</v>
      </c>
      <c r="O99" s="2">
        <v>648</v>
      </c>
      <c r="P99" s="2">
        <v>668</v>
      </c>
    </row>
    <row r="100" spans="2:16" x14ac:dyDescent="0.35">
      <c r="B100" s="2" t="s">
        <v>768</v>
      </c>
      <c r="C100" s="4">
        <v>46084</v>
      </c>
      <c r="D100" s="4">
        <v>44503</v>
      </c>
      <c r="E100" s="4">
        <v>43592</v>
      </c>
      <c r="F100" s="4">
        <v>43714</v>
      </c>
      <c r="G100" s="4">
        <v>42534</v>
      </c>
      <c r="H100" s="4">
        <v>41968</v>
      </c>
      <c r="I100" s="4">
        <v>42823</v>
      </c>
      <c r="J100" s="4">
        <v>43969</v>
      </c>
      <c r="K100" s="4">
        <v>45324</v>
      </c>
      <c r="L100" s="4">
        <v>48107</v>
      </c>
      <c r="M100" s="4">
        <v>52049</v>
      </c>
      <c r="N100" s="4">
        <v>55319</v>
      </c>
      <c r="O100" s="4">
        <v>58833</v>
      </c>
      <c r="P100" s="4">
        <v>63257</v>
      </c>
    </row>
    <row r="101" spans="2:16" x14ac:dyDescent="0.35">
      <c r="B101" s="2" t="s">
        <v>769</v>
      </c>
      <c r="C101" s="4">
        <v>23403</v>
      </c>
      <c r="D101" s="4">
        <v>22405</v>
      </c>
      <c r="E101" s="4">
        <v>21333</v>
      </c>
      <c r="F101" s="4">
        <v>21887</v>
      </c>
      <c r="G101" s="4">
        <v>21452</v>
      </c>
      <c r="H101" s="4">
        <v>20441</v>
      </c>
      <c r="I101" s="4">
        <v>20654</v>
      </c>
      <c r="J101" s="4">
        <v>21025</v>
      </c>
      <c r="K101" s="4">
        <v>21430</v>
      </c>
      <c r="L101" s="4">
        <v>22944</v>
      </c>
      <c r="M101" s="4">
        <v>25383</v>
      </c>
      <c r="N101" s="4">
        <v>27714</v>
      </c>
      <c r="O101" s="4">
        <v>29091</v>
      </c>
      <c r="P101" s="4">
        <v>30346</v>
      </c>
    </row>
    <row r="102" spans="2:16" x14ac:dyDescent="0.35">
      <c r="B102" s="2" t="s">
        <v>770</v>
      </c>
      <c r="C102" s="4">
        <v>5984</v>
      </c>
      <c r="D102" s="4">
        <v>5963</v>
      </c>
      <c r="E102" s="4">
        <v>5976</v>
      </c>
      <c r="F102" s="4">
        <v>5892</v>
      </c>
      <c r="G102" s="4">
        <v>5969</v>
      </c>
      <c r="H102" s="4">
        <v>6148</v>
      </c>
      <c r="I102" s="4">
        <v>5748</v>
      </c>
      <c r="J102" s="4">
        <v>5772</v>
      </c>
      <c r="K102" s="4">
        <v>6566</v>
      </c>
      <c r="L102" s="4">
        <v>7196</v>
      </c>
      <c r="M102" s="4">
        <v>7662</v>
      </c>
      <c r="N102" s="4">
        <v>7795</v>
      </c>
      <c r="O102" s="4">
        <v>8182</v>
      </c>
      <c r="P102" s="4">
        <v>8714</v>
      </c>
    </row>
    <row r="103" spans="2:16" x14ac:dyDescent="0.35">
      <c r="B103" s="2" t="s">
        <v>771</v>
      </c>
      <c r="C103" s="4">
        <v>0</v>
      </c>
      <c r="D103" s="4">
        <v>0</v>
      </c>
      <c r="E103" s="4">
        <v>0</v>
      </c>
      <c r="F103" s="4">
        <v>0</v>
      </c>
      <c r="G103" s="4">
        <v>0</v>
      </c>
      <c r="H103" s="4">
        <v>0</v>
      </c>
      <c r="I103" s="4">
        <v>0</v>
      </c>
      <c r="J103" s="4">
        <v>0</v>
      </c>
      <c r="K103" s="4">
        <v>0</v>
      </c>
      <c r="L103" s="4">
        <v>0</v>
      </c>
      <c r="M103" s="2">
        <v>0</v>
      </c>
      <c r="N103" s="2">
        <v>0</v>
      </c>
      <c r="O103" s="2">
        <v>0</v>
      </c>
      <c r="P103" s="2">
        <v>0</v>
      </c>
    </row>
    <row r="104" spans="2:16" x14ac:dyDescent="0.35">
      <c r="B104" s="2" t="s">
        <v>772</v>
      </c>
      <c r="C104" s="4">
        <v>16761</v>
      </c>
      <c r="D104" s="4">
        <v>16200</v>
      </c>
      <c r="E104" s="4">
        <v>16356</v>
      </c>
      <c r="F104" s="4">
        <v>16253</v>
      </c>
      <c r="G104" s="4">
        <v>15223</v>
      </c>
      <c r="H104" s="4">
        <v>15519</v>
      </c>
      <c r="I104" s="4">
        <v>16655</v>
      </c>
      <c r="J104" s="4">
        <v>17582</v>
      </c>
      <c r="K104" s="4">
        <v>17789</v>
      </c>
      <c r="L104" s="4">
        <v>18447</v>
      </c>
      <c r="M104" s="4">
        <v>19500</v>
      </c>
      <c r="N104" s="4">
        <v>20327</v>
      </c>
      <c r="O104" s="4">
        <v>22095</v>
      </c>
      <c r="P104" s="4">
        <v>24776</v>
      </c>
    </row>
    <row r="105" spans="2:16" x14ac:dyDescent="0.35">
      <c r="B105" s="2" t="s">
        <v>774</v>
      </c>
      <c r="C105" s="4">
        <v>-64</v>
      </c>
      <c r="D105" s="4">
        <v>-66</v>
      </c>
      <c r="E105" s="4">
        <v>-75</v>
      </c>
      <c r="F105" s="4">
        <v>-318</v>
      </c>
      <c r="G105" s="4">
        <v>-110</v>
      </c>
      <c r="H105" s="4">
        <v>-140</v>
      </c>
      <c r="I105" s="4">
        <v>-234</v>
      </c>
      <c r="J105" s="4">
        <v>-410</v>
      </c>
      <c r="K105" s="4">
        <v>-460</v>
      </c>
      <c r="L105" s="4">
        <v>-480</v>
      </c>
      <c r="M105" s="2">
        <v>-495</v>
      </c>
      <c r="N105" s="2">
        <v>-517</v>
      </c>
      <c r="O105" s="2">
        <v>-534</v>
      </c>
      <c r="P105" s="2">
        <v>-579</v>
      </c>
    </row>
    <row r="106" spans="2:16" x14ac:dyDescent="0.35">
      <c r="B106" s="2" t="s">
        <v>789</v>
      </c>
      <c r="C106" s="4">
        <v>9911</v>
      </c>
      <c r="D106" s="4">
        <v>9619</v>
      </c>
      <c r="E106" s="4">
        <v>8583</v>
      </c>
      <c r="F106" s="4">
        <v>8453</v>
      </c>
      <c r="G106" s="4">
        <v>8344</v>
      </c>
      <c r="H106" s="4">
        <v>7812</v>
      </c>
      <c r="I106" s="4">
        <v>7844</v>
      </c>
      <c r="J106" s="4">
        <v>8009</v>
      </c>
      <c r="K106" s="4">
        <v>8156</v>
      </c>
      <c r="L106" s="4">
        <v>9142</v>
      </c>
      <c r="M106" s="4">
        <v>10248</v>
      </c>
      <c r="N106" s="4">
        <v>10333</v>
      </c>
      <c r="O106" s="4">
        <v>14133</v>
      </c>
      <c r="P106" s="4">
        <v>13349</v>
      </c>
    </row>
    <row r="107" spans="2:16" x14ac:dyDescent="0.35">
      <c r="B107" s="2" t="s">
        <v>790</v>
      </c>
      <c r="C107" s="4">
        <v>446617</v>
      </c>
      <c r="D107" s="4">
        <v>473023</v>
      </c>
      <c r="E107" s="4">
        <v>480803</v>
      </c>
      <c r="F107" s="4">
        <v>491916</v>
      </c>
      <c r="G107" s="4">
        <v>516142</v>
      </c>
      <c r="H107" s="4">
        <v>564348</v>
      </c>
      <c r="I107" s="4">
        <v>609280</v>
      </c>
      <c r="J107" s="4">
        <v>642446</v>
      </c>
      <c r="K107" s="4">
        <v>654889</v>
      </c>
      <c r="L107" s="4">
        <v>679298</v>
      </c>
      <c r="M107" s="4">
        <v>716703</v>
      </c>
      <c r="N107" s="4">
        <v>781976</v>
      </c>
      <c r="O107" s="4">
        <v>877479</v>
      </c>
      <c r="P107" s="4">
        <v>982060</v>
      </c>
    </row>
    <row r="108" spans="2:16" x14ac:dyDescent="0.35">
      <c r="B108" s="2" t="s">
        <v>791</v>
      </c>
      <c r="C108" s="4">
        <v>615557</v>
      </c>
      <c r="D108" s="4">
        <v>649406</v>
      </c>
      <c r="E108" s="4">
        <v>663494</v>
      </c>
      <c r="F108" s="4">
        <v>680642</v>
      </c>
      <c r="G108" s="4">
        <v>714032</v>
      </c>
      <c r="H108" s="4">
        <v>773653</v>
      </c>
      <c r="I108" s="4">
        <v>829698</v>
      </c>
      <c r="J108" s="4">
        <v>872530</v>
      </c>
      <c r="K108" s="4">
        <v>896920</v>
      </c>
      <c r="L108" s="4">
        <v>934847</v>
      </c>
      <c r="M108" s="4">
        <v>985352</v>
      </c>
      <c r="N108" s="4">
        <v>1052548</v>
      </c>
      <c r="O108" s="4">
        <v>1169176</v>
      </c>
      <c r="P108" s="4">
        <v>1295447</v>
      </c>
    </row>
    <row r="109" spans="2:16" x14ac:dyDescent="0.35">
      <c r="B109" s="2" t="s">
        <v>792</v>
      </c>
      <c r="C109" s="4">
        <v>168940</v>
      </c>
      <c r="D109" s="4">
        <v>176384</v>
      </c>
      <c r="E109" s="4">
        <v>182691</v>
      </c>
      <c r="F109" s="4">
        <v>188726</v>
      </c>
      <c r="G109" s="4">
        <v>197890</v>
      </c>
      <c r="H109" s="4">
        <v>209305</v>
      </c>
      <c r="I109" s="4">
        <v>220417</v>
      </c>
      <c r="J109" s="4">
        <v>230083</v>
      </c>
      <c r="K109" s="4">
        <v>242031</v>
      </c>
      <c r="L109" s="4">
        <v>255549</v>
      </c>
      <c r="M109" s="4">
        <v>268648</v>
      </c>
      <c r="N109" s="4">
        <v>270571</v>
      </c>
      <c r="O109" s="4">
        <v>291697</v>
      </c>
      <c r="P109" s="4">
        <v>313387</v>
      </c>
    </row>
    <row r="110" spans="2:16" x14ac:dyDescent="0.35">
      <c r="B110" s="2" t="s">
        <v>277</v>
      </c>
      <c r="C110" s="4">
        <v>28835</v>
      </c>
      <c r="D110" s="4">
        <v>28510</v>
      </c>
      <c r="E110" s="4">
        <v>27897</v>
      </c>
      <c r="F110" s="4">
        <v>27645</v>
      </c>
      <c r="G110" s="4">
        <v>28828</v>
      </c>
      <c r="H110" s="4">
        <v>29990</v>
      </c>
      <c r="I110" s="4">
        <v>31363</v>
      </c>
      <c r="J110" s="4">
        <v>33024</v>
      </c>
      <c r="K110" s="4">
        <v>34225</v>
      </c>
      <c r="L110" s="4">
        <v>36233</v>
      </c>
      <c r="M110" s="4">
        <v>38582</v>
      </c>
      <c r="N110" s="4">
        <v>38788</v>
      </c>
      <c r="O110" s="4">
        <v>39022</v>
      </c>
      <c r="P110" s="4">
        <v>41711</v>
      </c>
    </row>
    <row r="111" spans="2:16" x14ac:dyDescent="0.35">
      <c r="B111" s="2" t="s">
        <v>138</v>
      </c>
      <c r="C111" s="4">
        <v>728267</v>
      </c>
      <c r="D111" s="4">
        <v>742866</v>
      </c>
      <c r="E111" s="4">
        <v>746413</v>
      </c>
      <c r="F111" s="4">
        <v>754912</v>
      </c>
      <c r="G111" s="4">
        <v>789260</v>
      </c>
      <c r="H111" s="4">
        <v>811769</v>
      </c>
      <c r="I111" s="4">
        <v>833414</v>
      </c>
      <c r="J111" s="4">
        <v>855813</v>
      </c>
      <c r="K111" s="4">
        <v>881781</v>
      </c>
      <c r="L111" s="4">
        <v>917783</v>
      </c>
      <c r="M111" s="4">
        <v>952507</v>
      </c>
      <c r="N111" s="4">
        <v>981522</v>
      </c>
      <c r="O111" s="4">
        <v>1027812</v>
      </c>
      <c r="P111" s="4">
        <v>1105838</v>
      </c>
    </row>
    <row r="112" spans="2:16" x14ac:dyDescent="0.35">
      <c r="B112" s="2" t="s">
        <v>775</v>
      </c>
      <c r="C112" s="4">
        <v>563125</v>
      </c>
      <c r="D112" s="4">
        <v>569594</v>
      </c>
      <c r="E112" s="4">
        <v>566209</v>
      </c>
      <c r="F112" s="4">
        <v>567879</v>
      </c>
      <c r="G112" s="4">
        <v>590677</v>
      </c>
      <c r="H112" s="4">
        <v>606014</v>
      </c>
      <c r="I112" s="4">
        <v>624314</v>
      </c>
      <c r="J112" s="4">
        <v>643408</v>
      </c>
      <c r="K112" s="4">
        <v>663355</v>
      </c>
      <c r="L112" s="4">
        <v>688420</v>
      </c>
      <c r="M112" s="4">
        <v>709644</v>
      </c>
      <c r="N112" s="4">
        <v>724929</v>
      </c>
      <c r="O112" s="4">
        <v>759688</v>
      </c>
      <c r="P112" s="4">
        <v>819536</v>
      </c>
    </row>
    <row r="113" spans="2:16" x14ac:dyDescent="0.35">
      <c r="B113" s="2" t="s">
        <v>776</v>
      </c>
      <c r="C113" s="4">
        <v>114192</v>
      </c>
      <c r="D113" s="4">
        <v>120418</v>
      </c>
      <c r="E113" s="4">
        <v>126000</v>
      </c>
      <c r="F113" s="4">
        <v>131152</v>
      </c>
      <c r="G113" s="4">
        <v>140048</v>
      </c>
      <c r="H113" s="4">
        <v>145122</v>
      </c>
      <c r="I113" s="4">
        <v>148194</v>
      </c>
      <c r="J113" s="4">
        <v>149956</v>
      </c>
      <c r="K113" s="4">
        <v>152689</v>
      </c>
      <c r="L113" s="4">
        <v>158876</v>
      </c>
      <c r="M113" s="4">
        <v>166090</v>
      </c>
      <c r="N113" s="4">
        <v>173267</v>
      </c>
      <c r="O113" s="4">
        <v>178269</v>
      </c>
      <c r="P113" s="4">
        <v>189556</v>
      </c>
    </row>
    <row r="114" spans="2:16" x14ac:dyDescent="0.35">
      <c r="B114" s="2" t="s">
        <v>777</v>
      </c>
      <c r="C114" s="4">
        <v>50949</v>
      </c>
      <c r="D114" s="4">
        <v>52853</v>
      </c>
      <c r="E114" s="4">
        <v>54204</v>
      </c>
      <c r="F114" s="4">
        <v>55881</v>
      </c>
      <c r="G114" s="4">
        <v>58535</v>
      </c>
      <c r="H114" s="4">
        <v>60634</v>
      </c>
      <c r="I114" s="4">
        <v>60907</v>
      </c>
      <c r="J114" s="4">
        <v>62449</v>
      </c>
      <c r="K114" s="4">
        <v>65737</v>
      </c>
      <c r="L114" s="4">
        <v>70487</v>
      </c>
      <c r="M114" s="4">
        <v>76773</v>
      </c>
      <c r="N114" s="4">
        <v>83326</v>
      </c>
      <c r="O114" s="4">
        <v>89855</v>
      </c>
      <c r="P114" s="4">
        <v>96746</v>
      </c>
    </row>
    <row r="115" spans="2:16" x14ac:dyDescent="0.35">
      <c r="B115" s="2" t="s">
        <v>778</v>
      </c>
      <c r="C115" s="4">
        <v>10677</v>
      </c>
      <c r="D115" s="4">
        <v>10636</v>
      </c>
      <c r="E115" s="4">
        <v>10928</v>
      </c>
      <c r="F115" s="4">
        <v>10873</v>
      </c>
      <c r="G115" s="4">
        <v>11149</v>
      </c>
      <c r="H115" s="4">
        <v>11354</v>
      </c>
      <c r="I115" s="4">
        <v>11627</v>
      </c>
      <c r="J115" s="4">
        <v>11903</v>
      </c>
      <c r="K115" s="4">
        <v>12239</v>
      </c>
      <c r="L115" s="4">
        <v>12590</v>
      </c>
      <c r="M115" s="4">
        <v>12924</v>
      </c>
      <c r="N115" s="4">
        <v>14350</v>
      </c>
      <c r="O115" s="4">
        <v>14550</v>
      </c>
      <c r="P115" s="4">
        <v>14272</v>
      </c>
    </row>
    <row r="116" spans="2:16" x14ac:dyDescent="0.35">
      <c r="B116" s="2" t="s">
        <v>700</v>
      </c>
      <c r="C116" s="4">
        <v>40272</v>
      </c>
      <c r="D116" s="4">
        <v>42217</v>
      </c>
      <c r="E116" s="4">
        <v>43276</v>
      </c>
      <c r="F116" s="4">
        <v>45009</v>
      </c>
      <c r="G116" s="4">
        <v>47386</v>
      </c>
      <c r="H116" s="4">
        <v>49280</v>
      </c>
      <c r="I116" s="4">
        <v>49280</v>
      </c>
      <c r="J116" s="4">
        <v>50546</v>
      </c>
      <c r="K116" s="4">
        <v>53498</v>
      </c>
      <c r="L116" s="4">
        <v>57897</v>
      </c>
      <c r="M116" s="4">
        <v>63849</v>
      </c>
      <c r="N116" s="4">
        <v>68976</v>
      </c>
      <c r="O116" s="4">
        <v>75305</v>
      </c>
      <c r="P116" s="4">
        <v>82473</v>
      </c>
    </row>
    <row r="117" spans="2:16" x14ac:dyDescent="0.35">
      <c r="B117" s="2" t="s">
        <v>278</v>
      </c>
      <c r="C117" s="4">
        <v>156554</v>
      </c>
      <c r="D117" s="4">
        <v>156779</v>
      </c>
      <c r="E117" s="4">
        <v>152350</v>
      </c>
      <c r="F117" s="4">
        <v>149478</v>
      </c>
      <c r="G117" s="4">
        <v>152532</v>
      </c>
      <c r="H117" s="4">
        <v>156345</v>
      </c>
      <c r="I117" s="4">
        <v>161106</v>
      </c>
      <c r="J117" s="4">
        <v>163071</v>
      </c>
      <c r="K117" s="4">
        <v>166769</v>
      </c>
      <c r="L117" s="4">
        <v>174527</v>
      </c>
      <c r="M117" s="4">
        <v>188090</v>
      </c>
      <c r="N117" s="4">
        <v>200370</v>
      </c>
      <c r="O117" s="4">
        <v>211867</v>
      </c>
      <c r="P117" s="4">
        <v>252147</v>
      </c>
    </row>
    <row r="118" spans="2:16" x14ac:dyDescent="0.35">
      <c r="B118" s="2" t="s">
        <v>779</v>
      </c>
      <c r="C118" s="4">
        <v>21479</v>
      </c>
      <c r="D118" s="4">
        <v>21137</v>
      </c>
      <c r="E118" s="4">
        <v>20039</v>
      </c>
      <c r="F118" s="4">
        <v>19718</v>
      </c>
      <c r="G118" s="4">
        <v>19635</v>
      </c>
      <c r="H118" s="4">
        <v>19741</v>
      </c>
      <c r="I118" s="4">
        <v>19247</v>
      </c>
      <c r="J118" s="4">
        <v>18926</v>
      </c>
      <c r="K118" s="4">
        <v>18679</v>
      </c>
      <c r="L118" s="4">
        <v>19430</v>
      </c>
      <c r="M118" s="4">
        <v>20849</v>
      </c>
      <c r="N118" s="4">
        <v>21897</v>
      </c>
      <c r="O118" s="4">
        <v>21874</v>
      </c>
      <c r="P118" s="4">
        <v>21937</v>
      </c>
    </row>
    <row r="119" spans="2:16" x14ac:dyDescent="0.35">
      <c r="B119" s="17" t="s">
        <v>781</v>
      </c>
      <c r="C119" s="10">
        <v>135075</v>
      </c>
      <c r="D119" s="10">
        <v>135642</v>
      </c>
      <c r="E119" s="10">
        <v>132310</v>
      </c>
      <c r="F119" s="10">
        <v>129760</v>
      </c>
      <c r="G119" s="10">
        <v>132897</v>
      </c>
      <c r="H119" s="10">
        <v>136604</v>
      </c>
      <c r="I119" s="10">
        <v>141859</v>
      </c>
      <c r="J119" s="10">
        <v>144146</v>
      </c>
      <c r="K119" s="10">
        <v>148090</v>
      </c>
      <c r="L119" s="10">
        <v>155097</v>
      </c>
      <c r="M119" s="10">
        <v>167241</v>
      </c>
      <c r="N119" s="10">
        <v>178473</v>
      </c>
      <c r="O119" s="10">
        <v>189993</v>
      </c>
      <c r="P119" s="10">
        <v>230210</v>
      </c>
    </row>
    <row r="121" spans="2:16" x14ac:dyDescent="0.35">
      <c r="B121" s="2" t="s">
        <v>793</v>
      </c>
    </row>
    <row r="122" spans="2:16" x14ac:dyDescent="0.35">
      <c r="B122" s="2" t="s">
        <v>794</v>
      </c>
    </row>
    <row r="123" spans="2:16" x14ac:dyDescent="0.35">
      <c r="B123" s="2" t="s">
        <v>795</v>
      </c>
    </row>
    <row r="124" spans="2:16" x14ac:dyDescent="0.35">
      <c r="B124" s="2" t="s">
        <v>796</v>
      </c>
    </row>
    <row r="125" spans="2:16" x14ac:dyDescent="0.35">
      <c r="B125" s="2" t="s">
        <v>797</v>
      </c>
    </row>
    <row r="126" spans="2:16" x14ac:dyDescent="0.35">
      <c r="B126" s="2" t="s">
        <v>798</v>
      </c>
    </row>
    <row r="127" spans="2:16" x14ac:dyDescent="0.35">
      <c r="B127" s="2" t="s">
        <v>799</v>
      </c>
    </row>
    <row r="128" spans="2:16" x14ac:dyDescent="0.35">
      <c r="B128" s="2" t="s">
        <v>800</v>
      </c>
    </row>
    <row r="130" spans="2:2" x14ac:dyDescent="0.35">
      <c r="B130" s="12" t="s">
        <v>747</v>
      </c>
    </row>
    <row r="131" spans="2:2" x14ac:dyDescent="0.35">
      <c r="B131" s="12" t="s">
        <v>801</v>
      </c>
    </row>
  </sheetData>
  <hyperlinks>
    <hyperlink ref="B130" r:id="rId1" xr:uid="{E73C255B-7A23-419A-A54D-35AD790413A4}"/>
    <hyperlink ref="B131" r:id="rId2" display="https://view.officeapps.live.com/op/view.aspx?src=https%3A%2F%2Fapps.bea.gov%2Fhistdata%2FReleases%2FGDP_and_PI%2F2023%2FQ4%2FAdvance_January-25-2024%2FSection3all_xls.xlsx&amp;wdOrigin=BROWSELINK" xr:uid="{7C1A85FE-B0A3-4395-A3A6-8591C8E05E33}"/>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F77D6-5E0F-40FE-ABEC-3A8A83532401}">
  <dimension ref="B2:J24"/>
  <sheetViews>
    <sheetView workbookViewId="0">
      <selection activeCell="B2" sqref="B2"/>
    </sheetView>
  </sheetViews>
  <sheetFormatPr defaultRowHeight="14.5" x14ac:dyDescent="0.35"/>
  <cols>
    <col min="3" max="3" width="14" bestFit="1" customWidth="1"/>
    <col min="4" max="4" width="13.54296875" customWidth="1"/>
  </cols>
  <sheetData>
    <row r="2" spans="2:10" x14ac:dyDescent="0.35">
      <c r="B2" s="119" t="s">
        <v>882</v>
      </c>
    </row>
    <row r="3" spans="2:10" x14ac:dyDescent="0.35">
      <c r="B3" t="s">
        <v>898</v>
      </c>
    </row>
    <row r="5" spans="2:10" x14ac:dyDescent="0.35">
      <c r="C5" t="s">
        <v>241</v>
      </c>
      <c r="F5" t="s">
        <v>900</v>
      </c>
      <c r="I5" t="s">
        <v>901</v>
      </c>
    </row>
    <row r="6" spans="2:10" x14ac:dyDescent="0.35">
      <c r="C6">
        <v>2012</v>
      </c>
      <c r="D6">
        <v>2022</v>
      </c>
      <c r="F6">
        <v>2012</v>
      </c>
      <c r="G6">
        <v>2022</v>
      </c>
      <c r="I6">
        <v>2012</v>
      </c>
      <c r="J6">
        <v>2022</v>
      </c>
    </row>
    <row r="7" spans="2:10" x14ac:dyDescent="0.35">
      <c r="B7" t="s">
        <v>883</v>
      </c>
      <c r="C7">
        <v>100976</v>
      </c>
      <c r="D7" s="104">
        <v>430573</v>
      </c>
      <c r="F7">
        <v>339938</v>
      </c>
      <c r="G7">
        <v>327383</v>
      </c>
      <c r="I7" s="105">
        <f>C7/F7</f>
        <v>0.29704240184974906</v>
      </c>
      <c r="J7" s="105">
        <f>D7/G7</f>
        <v>1.3151965740432461</v>
      </c>
    </row>
    <row r="8" spans="2:10" x14ac:dyDescent="0.35">
      <c r="B8" t="s">
        <v>884</v>
      </c>
      <c r="C8">
        <v>127910</v>
      </c>
      <c r="D8" s="104">
        <v>201146</v>
      </c>
      <c r="F8">
        <v>100904</v>
      </c>
      <c r="G8">
        <v>90645</v>
      </c>
      <c r="I8" s="105">
        <f t="shared" ref="I8:J21" si="0">C8/F8</f>
        <v>1.2676405296123048</v>
      </c>
      <c r="J8" s="105">
        <f t="shared" si="0"/>
        <v>2.2190523470682333</v>
      </c>
    </row>
    <row r="9" spans="2:10" x14ac:dyDescent="0.35">
      <c r="B9" t="s">
        <v>885</v>
      </c>
      <c r="C9">
        <v>276883</v>
      </c>
      <c r="D9" s="104">
        <v>708337</v>
      </c>
      <c r="F9">
        <v>101368</v>
      </c>
      <c r="G9">
        <v>91699</v>
      </c>
      <c r="I9" s="105">
        <f t="shared" si="0"/>
        <v>2.7314635782495462</v>
      </c>
      <c r="J9" s="105">
        <f t="shared" si="0"/>
        <v>7.7245880543953591</v>
      </c>
    </row>
    <row r="10" spans="2:10" x14ac:dyDescent="0.35">
      <c r="B10" t="s">
        <v>886</v>
      </c>
      <c r="C10">
        <v>235399</v>
      </c>
      <c r="D10" s="104">
        <v>855623</v>
      </c>
      <c r="F10">
        <v>95314</v>
      </c>
      <c r="G10">
        <v>98834</v>
      </c>
      <c r="I10" s="105">
        <f t="shared" si="0"/>
        <v>2.4697211322575905</v>
      </c>
      <c r="J10" s="105">
        <f t="shared" si="0"/>
        <v>8.6571726328996093</v>
      </c>
    </row>
    <row r="11" spans="2:10" x14ac:dyDescent="0.35">
      <c r="B11" t="s">
        <v>887</v>
      </c>
      <c r="C11">
        <v>724773</v>
      </c>
      <c r="D11" s="104">
        <v>1377061</v>
      </c>
      <c r="F11">
        <v>85786</v>
      </c>
      <c r="G11">
        <v>98240</v>
      </c>
      <c r="I11" s="105">
        <f t="shared" si="0"/>
        <v>8.4486163243419679</v>
      </c>
      <c r="J11" s="105">
        <f t="shared" si="0"/>
        <v>14.017314739413681</v>
      </c>
    </row>
    <row r="12" spans="2:10" x14ac:dyDescent="0.35">
      <c r="B12" t="s">
        <v>888</v>
      </c>
      <c r="C12">
        <v>1005068</v>
      </c>
      <c r="D12" s="104">
        <v>2467285</v>
      </c>
      <c r="F12">
        <v>89981</v>
      </c>
      <c r="G12">
        <v>93146</v>
      </c>
      <c r="I12" s="105">
        <f t="shared" si="0"/>
        <v>11.169780286949466</v>
      </c>
      <c r="J12" s="105">
        <f t="shared" si="0"/>
        <v>26.488362355871427</v>
      </c>
    </row>
    <row r="13" spans="2:10" x14ac:dyDescent="0.35">
      <c r="B13" t="s">
        <v>889</v>
      </c>
      <c r="C13">
        <v>3958910</v>
      </c>
      <c r="D13" s="104">
        <v>19846803</v>
      </c>
      <c r="F13">
        <v>91200</v>
      </c>
      <c r="G13">
        <v>82622</v>
      </c>
      <c r="I13" s="105">
        <f t="shared" si="0"/>
        <v>43.409100877192984</v>
      </c>
      <c r="J13" s="105">
        <f t="shared" si="0"/>
        <v>240.21208636924791</v>
      </c>
    </row>
    <row r="14" spans="2:10" x14ac:dyDescent="0.35">
      <c r="B14" t="s">
        <v>890</v>
      </c>
      <c r="C14">
        <v>16642867</v>
      </c>
      <c r="D14" s="104">
        <v>69247724</v>
      </c>
      <c r="F14">
        <v>96161</v>
      </c>
      <c r="G14">
        <v>86291</v>
      </c>
      <c r="I14" s="105">
        <f t="shared" si="0"/>
        <v>173.07294017325111</v>
      </c>
      <c r="J14" s="105">
        <f t="shared" si="0"/>
        <v>802.49068848431466</v>
      </c>
    </row>
    <row r="15" spans="2:10" x14ac:dyDescent="0.35">
      <c r="B15" t="s">
        <v>891</v>
      </c>
      <c r="C15">
        <v>71218196</v>
      </c>
      <c r="D15" s="104">
        <v>140762083</v>
      </c>
      <c r="F15">
        <v>94917</v>
      </c>
      <c r="G15">
        <v>86939</v>
      </c>
      <c r="I15" s="105">
        <f t="shared" si="0"/>
        <v>750.320764457368</v>
      </c>
      <c r="J15" s="105">
        <f t="shared" si="0"/>
        <v>1619.0902011755368</v>
      </c>
    </row>
    <row r="16" spans="2:10" x14ac:dyDescent="0.35">
      <c r="B16" t="s">
        <v>892</v>
      </c>
      <c r="C16">
        <v>180478329</v>
      </c>
      <c r="D16" s="104">
        <v>259764592</v>
      </c>
      <c r="F16">
        <v>87088</v>
      </c>
      <c r="G16">
        <v>90032</v>
      </c>
      <c r="I16" s="105">
        <f t="shared" si="0"/>
        <v>2072.3673640455631</v>
      </c>
      <c r="J16" s="105">
        <f t="shared" si="0"/>
        <v>2885.247378709792</v>
      </c>
    </row>
    <row r="17" spans="2:10" x14ac:dyDescent="0.35">
      <c r="B17" t="s">
        <v>893</v>
      </c>
      <c r="C17">
        <v>236306264</v>
      </c>
      <c r="D17" s="104">
        <v>346776246</v>
      </c>
      <c r="F17">
        <v>68135</v>
      </c>
      <c r="G17">
        <v>86039</v>
      </c>
      <c r="I17" s="105">
        <f t="shared" si="0"/>
        <v>3468.2067072723271</v>
      </c>
      <c r="J17" s="105">
        <f t="shared" si="0"/>
        <v>4030.4541661339626</v>
      </c>
    </row>
    <row r="18" spans="2:10" x14ac:dyDescent="0.35">
      <c r="B18" t="s">
        <v>894</v>
      </c>
      <c r="C18">
        <v>170135025</v>
      </c>
      <c r="D18" s="104">
        <v>359441545</v>
      </c>
      <c r="F18">
        <v>45742</v>
      </c>
      <c r="G18">
        <v>76196</v>
      </c>
      <c r="I18" s="105">
        <f t="shared" si="0"/>
        <v>3719.4487560666348</v>
      </c>
      <c r="J18" s="105">
        <f t="shared" si="0"/>
        <v>4717.3282718252931</v>
      </c>
    </row>
    <row r="19" spans="2:10" x14ac:dyDescent="0.35">
      <c r="B19" t="s">
        <v>895</v>
      </c>
      <c r="C19">
        <v>130412181</v>
      </c>
      <c r="D19" s="104">
        <v>225475918</v>
      </c>
      <c r="F19">
        <v>34154</v>
      </c>
      <c r="G19">
        <v>55454</v>
      </c>
      <c r="I19" s="105">
        <f t="shared" si="0"/>
        <v>3818.3574691104996</v>
      </c>
      <c r="J19" s="105">
        <f t="shared" si="0"/>
        <v>4065.9991704836443</v>
      </c>
    </row>
    <row r="20" spans="2:10" x14ac:dyDescent="0.35">
      <c r="B20" t="s">
        <v>896</v>
      </c>
      <c r="C20">
        <v>98424592</v>
      </c>
      <c r="D20" s="104">
        <v>136778610</v>
      </c>
      <c r="F20">
        <v>29905</v>
      </c>
      <c r="G20">
        <v>33280</v>
      </c>
      <c r="I20" s="105">
        <f t="shared" si="0"/>
        <v>3291.2419996656076</v>
      </c>
      <c r="J20" s="105">
        <f t="shared" si="0"/>
        <v>4109.9341947115381</v>
      </c>
    </row>
    <row r="21" spans="2:10" x14ac:dyDescent="0.35">
      <c r="B21" t="s">
        <v>897</v>
      </c>
      <c r="C21">
        <v>73196668</v>
      </c>
      <c r="D21" s="104">
        <v>111614894</v>
      </c>
      <c r="F21">
        <v>34211</v>
      </c>
      <c r="G21">
        <v>43396</v>
      </c>
      <c r="I21" s="105">
        <f t="shared" si="0"/>
        <v>2139.5652860191167</v>
      </c>
      <c r="J21" s="105">
        <f t="shared" si="0"/>
        <v>2572.0088026546227</v>
      </c>
    </row>
    <row r="23" spans="2:10" x14ac:dyDescent="0.35">
      <c r="B23" t="s">
        <v>899</v>
      </c>
    </row>
    <row r="24" spans="2:10" x14ac:dyDescent="0.35">
      <c r="B24" t="s">
        <v>902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90D41-4739-4CBF-ABC8-731819AD6F2B}">
  <sheetPr>
    <tabColor theme="5"/>
  </sheetPr>
  <dimension ref="B2:H292"/>
  <sheetViews>
    <sheetView zoomScale="90" zoomScaleNormal="90" workbookViewId="0"/>
  </sheetViews>
  <sheetFormatPr defaultRowHeight="14.5" x14ac:dyDescent="0.35"/>
  <cols>
    <col min="1" max="1" width="8.7265625" style="2"/>
    <col min="2" max="2" width="29.54296875" style="2" customWidth="1"/>
    <col min="3" max="3" width="1.6328125" style="2" customWidth="1"/>
    <col min="4" max="4" width="8.7265625" style="2"/>
    <col min="5" max="5" width="11.08984375" style="4" customWidth="1"/>
    <col min="6" max="6" width="78.6328125" style="2" customWidth="1"/>
    <col min="7" max="16384" width="8.7265625" style="2"/>
  </cols>
  <sheetData>
    <row r="2" spans="2:7" x14ac:dyDescent="0.35">
      <c r="B2" s="44" t="s">
        <v>859</v>
      </c>
    </row>
    <row r="4" spans="2:7" x14ac:dyDescent="0.35">
      <c r="B4" s="109" t="s">
        <v>557</v>
      </c>
      <c r="E4" s="67" t="s">
        <v>857</v>
      </c>
    </row>
    <row r="5" spans="2:7" x14ac:dyDescent="0.35">
      <c r="B5" s="109"/>
      <c r="E5" s="4">
        <f>lc!E11</f>
        <v>30250.300000000003</v>
      </c>
      <c r="F5" s="2" t="s">
        <v>553</v>
      </c>
      <c r="G5" s="2" t="s">
        <v>856</v>
      </c>
    </row>
    <row r="6" spans="2:7" x14ac:dyDescent="0.35">
      <c r="B6" s="109"/>
      <c r="E6" s="4">
        <f>lc!E189</f>
        <v>8875.1528330508208</v>
      </c>
      <c r="F6" s="6" t="s">
        <v>552</v>
      </c>
      <c r="G6" s="2" t="s">
        <v>856</v>
      </c>
    </row>
    <row r="8" spans="2:7" x14ac:dyDescent="0.35">
      <c r="E8" s="4">
        <f>E9+E10</f>
        <v>17754.793574443702</v>
      </c>
      <c r="F8" s="2" t="s">
        <v>497</v>
      </c>
      <c r="G8" s="2" t="s">
        <v>856</v>
      </c>
    </row>
    <row r="9" spans="2:7" x14ac:dyDescent="0.35">
      <c r="E9" s="4">
        <f>lc!E28</f>
        <v>1190.2616161393721</v>
      </c>
      <c r="F9" s="6" t="s">
        <v>554</v>
      </c>
      <c r="G9" s="2" t="s">
        <v>856</v>
      </c>
    </row>
    <row r="10" spans="2:7" x14ac:dyDescent="0.35">
      <c r="E10" s="4">
        <f>lc!E29</f>
        <v>16564.531958304331</v>
      </c>
      <c r="F10" s="6" t="s">
        <v>555</v>
      </c>
      <c r="G10" s="2" t="s">
        <v>856</v>
      </c>
    </row>
    <row r="11" spans="2:7" x14ac:dyDescent="0.35">
      <c r="E11" s="7">
        <f>E10*(E6/E5)</f>
        <v>4859.8775132116216</v>
      </c>
      <c r="F11" s="8" t="s">
        <v>472</v>
      </c>
      <c r="G11" s="2" t="s">
        <v>49</v>
      </c>
    </row>
    <row r="12" spans="2:7" x14ac:dyDescent="0.35">
      <c r="E12" s="4">
        <f>E10-E11</f>
        <v>11704.65444509271</v>
      </c>
      <c r="F12" s="8" t="s">
        <v>474</v>
      </c>
      <c r="G12" s="2" t="s">
        <v>49</v>
      </c>
    </row>
    <row r="14" spans="2:7" x14ac:dyDescent="0.35">
      <c r="B14" s="109" t="s">
        <v>558</v>
      </c>
      <c r="E14" s="67" t="s">
        <v>559</v>
      </c>
    </row>
    <row r="15" spans="2:7" x14ac:dyDescent="0.35">
      <c r="B15" s="109"/>
      <c r="E15" s="4">
        <f>'T3'!E25</f>
        <v>3137.7739999999999</v>
      </c>
      <c r="F15" s="2" t="s">
        <v>560</v>
      </c>
      <c r="G15" s="2" t="s">
        <v>835</v>
      </c>
    </row>
    <row r="16" spans="2:7" x14ac:dyDescent="0.35">
      <c r="E16" s="4">
        <f>'T3'!C25</f>
        <v>2959.8629999999998</v>
      </c>
      <c r="F16" s="2" t="s">
        <v>561</v>
      </c>
      <c r="G16" s="2" t="s">
        <v>835</v>
      </c>
    </row>
    <row r="17" spans="2:7" x14ac:dyDescent="0.35">
      <c r="E17" s="4">
        <f>'T1'!AB13</f>
        <v>17796.900000000001</v>
      </c>
      <c r="F17" s="2" t="s">
        <v>562</v>
      </c>
      <c r="G17" s="2" t="s">
        <v>833</v>
      </c>
    </row>
    <row r="19" spans="2:7" x14ac:dyDescent="0.35">
      <c r="E19" s="4">
        <f>E17*(E15+E16)/E15</f>
        <v>34584.720226918827</v>
      </c>
      <c r="F19" s="2" t="s">
        <v>563</v>
      </c>
      <c r="G19" s="2" t="s">
        <v>49</v>
      </c>
    </row>
    <row r="21" spans="2:7" x14ac:dyDescent="0.35">
      <c r="E21" s="67" t="s">
        <v>564</v>
      </c>
    </row>
    <row r="22" spans="2:7" x14ac:dyDescent="0.35">
      <c r="E22" s="4">
        <f>'T3'!E24</f>
        <v>1056.5619999999999</v>
      </c>
      <c r="F22" s="2" t="s">
        <v>565</v>
      </c>
      <c r="G22" s="2" t="s">
        <v>835</v>
      </c>
    </row>
    <row r="23" spans="2:7" x14ac:dyDescent="0.35">
      <c r="E23" s="4">
        <f>'T3'!C24</f>
        <v>4164.3509999999997</v>
      </c>
      <c r="F23" s="2" t="s">
        <v>566</v>
      </c>
      <c r="G23" s="2" t="s">
        <v>835</v>
      </c>
    </row>
    <row r="25" spans="2:7" x14ac:dyDescent="0.35">
      <c r="E25" s="4">
        <f>E19*SUM(E22:E23)/SUM(E15:E16)</f>
        <v>29612.096527570178</v>
      </c>
      <c r="F25" s="2" t="s">
        <v>567</v>
      </c>
      <c r="G25" s="2" t="s">
        <v>49</v>
      </c>
    </row>
    <row r="27" spans="2:7" x14ac:dyDescent="0.35">
      <c r="B27" s="109" t="s">
        <v>568</v>
      </c>
      <c r="E27" s="67" t="s">
        <v>572</v>
      </c>
    </row>
    <row r="28" spans="2:7" x14ac:dyDescent="0.35">
      <c r="B28" s="109"/>
      <c r="E28" s="4">
        <f>'T8'!AB44</f>
        <v>139.70599999999999</v>
      </c>
      <c r="F28" s="2" t="s">
        <v>569</v>
      </c>
      <c r="G28" s="2" t="s">
        <v>842</v>
      </c>
    </row>
    <row r="29" spans="2:7" x14ac:dyDescent="0.35">
      <c r="E29" s="4">
        <f>'T8'!AB45</f>
        <v>284</v>
      </c>
      <c r="F29" s="2" t="s">
        <v>570</v>
      </c>
      <c r="G29" s="2" t="s">
        <v>842</v>
      </c>
    </row>
    <row r="31" spans="2:7" x14ac:dyDescent="0.35">
      <c r="E31" s="4">
        <f>E28+E29</f>
        <v>423.70600000000002</v>
      </c>
      <c r="F31" s="2" t="s">
        <v>571</v>
      </c>
      <c r="G31" s="2" t="s">
        <v>49</v>
      </c>
    </row>
    <row r="33" spans="2:7" x14ac:dyDescent="0.35">
      <c r="E33" s="67" t="s">
        <v>577</v>
      </c>
    </row>
    <row r="34" spans="2:7" x14ac:dyDescent="0.35">
      <c r="E34" s="4">
        <f>lc!E232</f>
        <v>49440.958030997506</v>
      </c>
      <c r="F34" s="2" t="s">
        <v>573</v>
      </c>
      <c r="G34" s="2" t="s">
        <v>855</v>
      </c>
    </row>
    <row r="35" spans="2:7" x14ac:dyDescent="0.35">
      <c r="E35" s="4">
        <f>'T11'!E19</f>
        <v>2.1</v>
      </c>
      <c r="F35" s="2" t="s">
        <v>575</v>
      </c>
      <c r="G35" s="2" t="s">
        <v>858</v>
      </c>
    </row>
    <row r="36" spans="2:7" x14ac:dyDescent="0.35">
      <c r="E36" s="4">
        <f>SUM('T11'!E7:E18)</f>
        <v>85</v>
      </c>
      <c r="F36" s="2" t="s">
        <v>574</v>
      </c>
      <c r="G36" s="2" t="s">
        <v>858</v>
      </c>
    </row>
    <row r="38" spans="2:7" x14ac:dyDescent="0.35">
      <c r="E38" s="4">
        <f>E34*(E35/E36)</f>
        <v>1221.4824925305268</v>
      </c>
      <c r="F38" s="2" t="s">
        <v>576</v>
      </c>
      <c r="G38" s="2" t="s">
        <v>49</v>
      </c>
    </row>
    <row r="40" spans="2:7" ht="15" thickBot="1" x14ac:dyDescent="0.4"/>
    <row r="41" spans="2:7" x14ac:dyDescent="0.35">
      <c r="B41" s="44" t="s">
        <v>916</v>
      </c>
      <c r="E41" s="69">
        <f>E42+E47</f>
        <v>9647.3220154745686</v>
      </c>
      <c r="F41" s="70" t="s">
        <v>916</v>
      </c>
    </row>
    <row r="42" spans="2:7" x14ac:dyDescent="0.35">
      <c r="E42" s="71">
        <f>E43+E44</f>
        <v>-797.77649253052675</v>
      </c>
      <c r="F42" s="76" t="s">
        <v>578</v>
      </c>
    </row>
    <row r="43" spans="2:7" x14ac:dyDescent="0.35">
      <c r="E43" s="71">
        <v>0</v>
      </c>
      <c r="F43" s="72" t="s">
        <v>579</v>
      </c>
    </row>
    <row r="44" spans="2:7" x14ac:dyDescent="0.35">
      <c r="E44" s="71">
        <f>E45-E46</f>
        <v>-797.77649253052675</v>
      </c>
      <c r="F44" s="72" t="s">
        <v>580</v>
      </c>
    </row>
    <row r="45" spans="2:7" x14ac:dyDescent="0.35">
      <c r="E45" s="71">
        <f>E31</f>
        <v>423.70600000000002</v>
      </c>
      <c r="F45" s="75" t="s">
        <v>581</v>
      </c>
    </row>
    <row r="46" spans="2:7" x14ac:dyDescent="0.35">
      <c r="E46" s="71">
        <f>E38</f>
        <v>1221.4824925305268</v>
      </c>
      <c r="F46" s="75" t="s">
        <v>582</v>
      </c>
    </row>
    <row r="47" spans="2:7" x14ac:dyDescent="0.35">
      <c r="E47" s="71">
        <f>lc!E258-E42-rg!E156</f>
        <v>10445.098508005096</v>
      </c>
      <c r="F47" s="76" t="s">
        <v>583</v>
      </c>
    </row>
    <row r="48" spans="2:7" x14ac:dyDescent="0.35">
      <c r="B48" s="4"/>
      <c r="E48" s="71">
        <f>E49+E53</f>
        <v>22727.417273792355</v>
      </c>
      <c r="F48" s="72" t="s">
        <v>584</v>
      </c>
    </row>
    <row r="49" spans="5:6" x14ac:dyDescent="0.35">
      <c r="E49" s="71">
        <f>SUM(E50:E52)</f>
        <v>17754.793574443705</v>
      </c>
      <c r="F49" s="75" t="s">
        <v>585</v>
      </c>
    </row>
    <row r="50" spans="5:6" x14ac:dyDescent="0.35">
      <c r="E50" s="71">
        <f>E9</f>
        <v>1190.2616161393721</v>
      </c>
      <c r="F50" s="79" t="s">
        <v>554</v>
      </c>
    </row>
    <row r="51" spans="5:6" x14ac:dyDescent="0.35">
      <c r="E51" s="71">
        <f>E11</f>
        <v>4859.8775132116216</v>
      </c>
      <c r="F51" s="79" t="s">
        <v>472</v>
      </c>
    </row>
    <row r="52" spans="5:6" x14ac:dyDescent="0.35">
      <c r="E52" s="71">
        <f>E12</f>
        <v>11704.65444509271</v>
      </c>
      <c r="F52" s="79" t="s">
        <v>51</v>
      </c>
    </row>
    <row r="53" spans="5:6" x14ac:dyDescent="0.35">
      <c r="E53" s="71">
        <f>E54-E55</f>
        <v>4972.6236993486491</v>
      </c>
      <c r="F53" s="75" t="s">
        <v>586</v>
      </c>
    </row>
    <row r="54" spans="5:6" x14ac:dyDescent="0.35">
      <c r="E54" s="71">
        <f>E19</f>
        <v>34584.720226918827</v>
      </c>
      <c r="F54" s="79" t="s">
        <v>587</v>
      </c>
    </row>
    <row r="55" spans="5:6" x14ac:dyDescent="0.35">
      <c r="E55" s="71">
        <f>E25</f>
        <v>29612.096527570178</v>
      </c>
      <c r="F55" s="79" t="s">
        <v>567</v>
      </c>
    </row>
    <row r="56" spans="5:6" ht="15" thickBot="1" x14ac:dyDescent="0.4">
      <c r="E56" s="77">
        <f>E48-E47</f>
        <v>12282.318765787259</v>
      </c>
      <c r="F56" s="80" t="s">
        <v>870</v>
      </c>
    </row>
    <row r="57" spans="5:6" x14ac:dyDescent="0.35">
      <c r="F57" s="8"/>
    </row>
    <row r="58" spans="5:6" x14ac:dyDescent="0.35">
      <c r="F58" s="6"/>
    </row>
    <row r="59" spans="5:6" x14ac:dyDescent="0.35">
      <c r="F59" s="8"/>
    </row>
    <row r="60" spans="5:6" x14ac:dyDescent="0.35">
      <c r="F60" s="8"/>
    </row>
    <row r="61" spans="5:6" x14ac:dyDescent="0.35">
      <c r="F61" s="8"/>
    </row>
    <row r="63" spans="5:6" x14ac:dyDescent="0.35">
      <c r="F63" s="6"/>
    </row>
    <row r="64" spans="5:6" x14ac:dyDescent="0.35">
      <c r="F64" s="8"/>
    </row>
    <row r="65" spans="6:6" x14ac:dyDescent="0.35">
      <c r="F65" s="8"/>
    </row>
    <row r="66" spans="6:6" x14ac:dyDescent="0.35">
      <c r="F66" s="8"/>
    </row>
    <row r="67" spans="6:6" x14ac:dyDescent="0.35">
      <c r="F67" s="6"/>
    </row>
    <row r="68" spans="6:6" x14ac:dyDescent="0.35">
      <c r="F68" s="8"/>
    </row>
    <row r="69" spans="6:6" x14ac:dyDescent="0.35">
      <c r="F69" s="8"/>
    </row>
    <row r="70" spans="6:6" x14ac:dyDescent="0.35">
      <c r="F70" s="8"/>
    </row>
    <row r="71" spans="6:6" x14ac:dyDescent="0.35">
      <c r="F71" s="22"/>
    </row>
    <row r="87" spans="6:8" x14ac:dyDescent="0.35">
      <c r="F87" s="6"/>
      <c r="H87" s="14"/>
    </row>
    <row r="88" spans="6:8" x14ac:dyDescent="0.35">
      <c r="F88" s="6"/>
      <c r="H88" s="14"/>
    </row>
    <row r="89" spans="6:8" x14ac:dyDescent="0.35">
      <c r="F89" s="6"/>
    </row>
    <row r="90" spans="6:8" x14ac:dyDescent="0.35">
      <c r="F90" s="8"/>
    </row>
    <row r="91" spans="6:8" x14ac:dyDescent="0.35">
      <c r="F91" s="8"/>
    </row>
    <row r="103" spans="6:6" x14ac:dyDescent="0.35">
      <c r="F103" s="6"/>
    </row>
    <row r="104" spans="6:6" x14ac:dyDescent="0.35">
      <c r="F104" s="6"/>
    </row>
    <row r="105" spans="6:6" x14ac:dyDescent="0.35">
      <c r="F105" s="6"/>
    </row>
    <row r="106" spans="6:6" x14ac:dyDescent="0.35">
      <c r="F106" s="22"/>
    </row>
    <row r="107" spans="6:6" x14ac:dyDescent="0.35">
      <c r="F107" s="22"/>
    </row>
    <row r="116" spans="6:6" x14ac:dyDescent="0.35">
      <c r="F116" s="6"/>
    </row>
    <row r="117" spans="6:6" x14ac:dyDescent="0.35">
      <c r="F117" s="6"/>
    </row>
    <row r="125" spans="6:6" x14ac:dyDescent="0.35">
      <c r="F125" s="6"/>
    </row>
    <row r="126" spans="6:6" x14ac:dyDescent="0.35">
      <c r="F126" s="6"/>
    </row>
    <row r="128" spans="6:6" x14ac:dyDescent="0.35">
      <c r="F128" s="6"/>
    </row>
    <row r="129" spans="6:6" x14ac:dyDescent="0.35">
      <c r="F129" s="6"/>
    </row>
    <row r="144" spans="6:6" x14ac:dyDescent="0.35">
      <c r="F144" s="6"/>
    </row>
    <row r="145" spans="6:6" x14ac:dyDescent="0.35">
      <c r="F145" s="20"/>
    </row>
    <row r="146" spans="6:6" x14ac:dyDescent="0.35">
      <c r="F146" s="20"/>
    </row>
    <row r="147" spans="6:6" x14ac:dyDescent="0.35">
      <c r="F147" s="6"/>
    </row>
    <row r="148" spans="6:6" x14ac:dyDescent="0.35">
      <c r="F148" s="6"/>
    </row>
    <row r="149" spans="6:6" x14ac:dyDescent="0.35">
      <c r="F149" s="8"/>
    </row>
    <row r="150" spans="6:6" x14ac:dyDescent="0.35">
      <c r="F150" s="8"/>
    </row>
    <row r="151" spans="6:6" x14ac:dyDescent="0.35">
      <c r="F151" s="20"/>
    </row>
    <row r="152" spans="6:6" x14ac:dyDescent="0.35">
      <c r="F152" s="20"/>
    </row>
    <row r="154" spans="6:6" x14ac:dyDescent="0.35">
      <c r="F154" s="6"/>
    </row>
    <row r="155" spans="6:6" x14ac:dyDescent="0.35">
      <c r="F155" s="6"/>
    </row>
    <row r="182" spans="6:6" x14ac:dyDescent="0.35">
      <c r="F182" s="6"/>
    </row>
    <row r="183" spans="6:6" x14ac:dyDescent="0.35">
      <c r="F183" s="6"/>
    </row>
    <row r="191" spans="6:6" x14ac:dyDescent="0.35">
      <c r="F191" s="6"/>
    </row>
    <row r="192" spans="6:6" x14ac:dyDescent="0.35">
      <c r="F192" s="6"/>
    </row>
    <row r="193" spans="6:6" x14ac:dyDescent="0.35">
      <c r="F193" s="8"/>
    </row>
    <row r="194" spans="6:6" x14ac:dyDescent="0.35">
      <c r="F194" s="8"/>
    </row>
    <row r="195" spans="6:6" x14ac:dyDescent="0.35">
      <c r="F195" s="8"/>
    </row>
    <row r="196" spans="6:6" x14ac:dyDescent="0.35">
      <c r="F196" s="6"/>
    </row>
    <row r="199" spans="6:6" x14ac:dyDescent="0.35">
      <c r="F199" s="6"/>
    </row>
    <row r="200" spans="6:6" x14ac:dyDescent="0.35">
      <c r="F200" s="6"/>
    </row>
    <row r="201" spans="6:6" x14ac:dyDescent="0.35">
      <c r="F201" s="8"/>
    </row>
    <row r="202" spans="6:6" x14ac:dyDescent="0.35">
      <c r="F202" s="8"/>
    </row>
    <row r="203" spans="6:6" x14ac:dyDescent="0.35">
      <c r="F203" s="6"/>
    </row>
    <row r="204" spans="6:6" x14ac:dyDescent="0.35">
      <c r="F204" s="6"/>
    </row>
    <row r="207" spans="6:6" x14ac:dyDescent="0.35">
      <c r="F207" s="6"/>
    </row>
    <row r="208" spans="6:6" x14ac:dyDescent="0.35">
      <c r="F208" s="6"/>
    </row>
    <row r="209" spans="6:6" x14ac:dyDescent="0.35">
      <c r="F209" s="6"/>
    </row>
    <row r="210" spans="6:6" x14ac:dyDescent="0.35">
      <c r="F210" s="6"/>
    </row>
    <row r="212" spans="6:6" x14ac:dyDescent="0.35">
      <c r="F212" s="22"/>
    </row>
    <row r="213" spans="6:6" x14ac:dyDescent="0.35">
      <c r="F213" s="6"/>
    </row>
    <row r="214" spans="6:6" x14ac:dyDescent="0.35">
      <c r="F214" s="6"/>
    </row>
    <row r="215" spans="6:6" x14ac:dyDescent="0.35">
      <c r="F215" s="6"/>
    </row>
    <row r="216" spans="6:6" x14ac:dyDescent="0.35">
      <c r="F216" s="6"/>
    </row>
    <row r="219" spans="6:6" x14ac:dyDescent="0.35">
      <c r="F219" s="6"/>
    </row>
    <row r="220" spans="6:6" x14ac:dyDescent="0.35">
      <c r="F220" s="6"/>
    </row>
    <row r="221" spans="6:6" x14ac:dyDescent="0.35">
      <c r="F221" s="6"/>
    </row>
    <row r="222" spans="6:6" x14ac:dyDescent="0.35">
      <c r="F222" s="6"/>
    </row>
    <row r="223" spans="6:6" x14ac:dyDescent="0.35">
      <c r="F223" s="6"/>
    </row>
    <row r="226" spans="6:6" x14ac:dyDescent="0.35">
      <c r="F226" s="6"/>
    </row>
    <row r="227" spans="6:6" x14ac:dyDescent="0.35">
      <c r="F227" s="46"/>
    </row>
    <row r="228" spans="6:6" x14ac:dyDescent="0.35">
      <c r="F228" s="46"/>
    </row>
    <row r="229" spans="6:6" x14ac:dyDescent="0.35">
      <c r="F229" s="47"/>
    </row>
    <row r="230" spans="6:6" x14ac:dyDescent="0.35">
      <c r="F230" s="47"/>
    </row>
    <row r="231" spans="6:6" x14ac:dyDescent="0.35">
      <c r="F231" s="46"/>
    </row>
    <row r="232" spans="6:6" x14ac:dyDescent="0.35">
      <c r="F232" s="47"/>
    </row>
    <row r="233" spans="6:6" x14ac:dyDescent="0.35">
      <c r="F233" s="47"/>
    </row>
    <row r="234" spans="6:6" x14ac:dyDescent="0.35">
      <c r="F234" s="47"/>
    </row>
    <row r="235" spans="6:6" x14ac:dyDescent="0.35">
      <c r="F235" s="47"/>
    </row>
    <row r="236" spans="6:6" x14ac:dyDescent="0.35">
      <c r="F236" s="6"/>
    </row>
    <row r="237" spans="6:6" x14ac:dyDescent="0.35">
      <c r="F237" s="46"/>
    </row>
    <row r="238" spans="6:6" x14ac:dyDescent="0.35">
      <c r="F238" s="46"/>
    </row>
    <row r="239" spans="6:6" x14ac:dyDescent="0.35">
      <c r="F239" s="46"/>
    </row>
    <row r="240" spans="6:6" x14ac:dyDescent="0.35">
      <c r="F240" s="8"/>
    </row>
    <row r="241" spans="6:6" x14ac:dyDescent="0.35">
      <c r="F241" s="46"/>
    </row>
    <row r="242" spans="6:6" x14ac:dyDescent="0.35">
      <c r="F242" s="46"/>
    </row>
    <row r="243" spans="6:6" x14ac:dyDescent="0.35">
      <c r="F243" s="46"/>
    </row>
    <row r="244" spans="6:6" x14ac:dyDescent="0.35">
      <c r="F244" s="8"/>
    </row>
    <row r="245" spans="6:6" x14ac:dyDescent="0.35">
      <c r="F245" s="46"/>
    </row>
    <row r="246" spans="6:6" x14ac:dyDescent="0.35">
      <c r="F246" s="46"/>
    </row>
    <row r="247" spans="6:6" x14ac:dyDescent="0.35">
      <c r="F247" s="46"/>
    </row>
    <row r="249" spans="6:6" x14ac:dyDescent="0.35">
      <c r="F249" s="6"/>
    </row>
    <row r="250" spans="6:6" x14ac:dyDescent="0.35">
      <c r="F250" s="6"/>
    </row>
    <row r="256" spans="6:6" x14ac:dyDescent="0.35">
      <c r="F256" s="22"/>
    </row>
    <row r="257" spans="6:6" x14ac:dyDescent="0.35">
      <c r="F257" s="6"/>
    </row>
    <row r="258" spans="6:6" x14ac:dyDescent="0.35">
      <c r="F258" s="6"/>
    </row>
    <row r="259" spans="6:6" x14ac:dyDescent="0.35">
      <c r="F259" s="6"/>
    </row>
    <row r="260" spans="6:6" x14ac:dyDescent="0.35">
      <c r="F260" s="6"/>
    </row>
    <row r="262" spans="6:6" x14ac:dyDescent="0.35">
      <c r="F262" s="48"/>
    </row>
    <row r="263" spans="6:6" x14ac:dyDescent="0.35">
      <c r="F263" s="6"/>
    </row>
    <row r="264" spans="6:6" x14ac:dyDescent="0.35">
      <c r="F264" s="6"/>
    </row>
    <row r="265" spans="6:6" x14ac:dyDescent="0.35">
      <c r="F265" s="6"/>
    </row>
    <row r="266" spans="6:6" x14ac:dyDescent="0.35">
      <c r="F266" s="6"/>
    </row>
    <row r="268" spans="6:6" x14ac:dyDescent="0.35">
      <c r="F268" s="48"/>
    </row>
    <row r="269" spans="6:6" x14ac:dyDescent="0.35">
      <c r="F269" s="6"/>
    </row>
    <row r="270" spans="6:6" x14ac:dyDescent="0.35">
      <c r="F270" s="6"/>
    </row>
    <row r="271" spans="6:6" x14ac:dyDescent="0.35">
      <c r="F271" s="6"/>
    </row>
    <row r="272" spans="6:6" x14ac:dyDescent="0.35">
      <c r="F272" s="6"/>
    </row>
    <row r="277" spans="6:6" x14ac:dyDescent="0.35">
      <c r="F277" s="48"/>
    </row>
    <row r="278" spans="6:6" x14ac:dyDescent="0.35">
      <c r="F278" s="48"/>
    </row>
    <row r="279" spans="6:6" x14ac:dyDescent="0.35">
      <c r="F279" s="48"/>
    </row>
    <row r="280" spans="6:6" x14ac:dyDescent="0.35">
      <c r="F280" s="48"/>
    </row>
    <row r="282" spans="6:6" x14ac:dyDescent="0.35">
      <c r="F282" s="48"/>
    </row>
    <row r="283" spans="6:6" x14ac:dyDescent="0.35">
      <c r="F283" s="6"/>
    </row>
    <row r="284" spans="6:6" x14ac:dyDescent="0.35">
      <c r="F284" s="6"/>
    </row>
    <row r="285" spans="6:6" x14ac:dyDescent="0.35">
      <c r="F285" s="6"/>
    </row>
    <row r="286" spans="6:6" x14ac:dyDescent="0.35">
      <c r="F286" s="6"/>
    </row>
    <row r="287" spans="6:6" x14ac:dyDescent="0.35">
      <c r="F287" s="22"/>
    </row>
    <row r="288" spans="6:6" x14ac:dyDescent="0.35">
      <c r="F288" s="48"/>
    </row>
    <row r="289" spans="6:6" x14ac:dyDescent="0.35">
      <c r="F289" s="6"/>
    </row>
    <row r="290" spans="6:6" x14ac:dyDescent="0.35">
      <c r="F290" s="6"/>
    </row>
    <row r="291" spans="6:6" x14ac:dyDescent="0.35">
      <c r="F291" s="6"/>
    </row>
    <row r="292" spans="6:6" x14ac:dyDescent="0.35">
      <c r="F292" s="6"/>
    </row>
  </sheetData>
  <mergeCells count="3">
    <mergeCell ref="B14:B15"/>
    <mergeCell ref="B27:B28"/>
    <mergeCell ref="B4: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D54CC-4858-4D88-A113-EAFE13390FA2}">
  <sheetPr>
    <tabColor theme="5"/>
  </sheetPr>
  <dimension ref="A1:D136"/>
  <sheetViews>
    <sheetView workbookViewId="0"/>
  </sheetViews>
  <sheetFormatPr defaultRowHeight="14.5" x14ac:dyDescent="0.35"/>
  <cols>
    <col min="2" max="2" width="13.7265625" bestFit="1" customWidth="1"/>
    <col min="4" max="4" width="83.7265625" bestFit="1" customWidth="1"/>
  </cols>
  <sheetData>
    <row r="1" spans="1:4" x14ac:dyDescent="0.35">
      <c r="A1" t="s">
        <v>994</v>
      </c>
      <c r="B1" t="s">
        <v>956</v>
      </c>
      <c r="C1" t="s">
        <v>957</v>
      </c>
      <c r="D1" t="s">
        <v>958</v>
      </c>
    </row>
    <row r="2" spans="1:4" x14ac:dyDescent="0.35">
      <c r="A2">
        <v>1</v>
      </c>
      <c r="B2" s="2" t="s">
        <v>917</v>
      </c>
      <c r="C2" s="4">
        <f>lc!E233</f>
        <v>1221.4824925305268</v>
      </c>
      <c r="D2" t="s">
        <v>959</v>
      </c>
    </row>
    <row r="3" spans="1:4" x14ac:dyDescent="0.35">
      <c r="A3">
        <v>2</v>
      </c>
      <c r="B3" s="2" t="s">
        <v>918</v>
      </c>
      <c r="C3" s="4">
        <f>lc!E235</f>
        <v>6326.2720197267154</v>
      </c>
      <c r="D3" t="s">
        <v>960</v>
      </c>
    </row>
    <row r="4" spans="1:4" x14ac:dyDescent="0.35">
      <c r="A4">
        <v>3</v>
      </c>
      <c r="B4" s="2" t="s">
        <v>919</v>
      </c>
      <c r="C4" s="4">
        <f>lc!E236</f>
        <v>5243.4630858313312</v>
      </c>
      <c r="D4" t="s">
        <v>961</v>
      </c>
    </row>
    <row r="5" spans="1:4" x14ac:dyDescent="0.35">
      <c r="A5">
        <v>4</v>
      </c>
      <c r="B5" s="2" t="s">
        <v>922</v>
      </c>
      <c r="C5" s="4">
        <f>lc!E238</f>
        <v>6766.5092802712124</v>
      </c>
      <c r="D5" t="s">
        <v>962</v>
      </c>
    </row>
    <row r="6" spans="1:4" x14ac:dyDescent="0.35">
      <c r="A6">
        <v>5</v>
      </c>
      <c r="B6" s="2" t="s">
        <v>923</v>
      </c>
      <c r="C6" s="4">
        <f>lc!E239</f>
        <v>8875.1528330508208</v>
      </c>
      <c r="D6" t="s">
        <v>963</v>
      </c>
    </row>
    <row r="7" spans="1:4" x14ac:dyDescent="0.35">
      <c r="A7">
        <v>6</v>
      </c>
      <c r="B7" s="2" t="s">
        <v>924</v>
      </c>
      <c r="C7" s="4">
        <f>lc!E240</f>
        <v>407.16083084350879</v>
      </c>
      <c r="D7" t="s">
        <v>964</v>
      </c>
    </row>
    <row r="8" spans="1:4" x14ac:dyDescent="0.35">
      <c r="A8">
        <v>7</v>
      </c>
      <c r="B8" s="2" t="s">
        <v>925</v>
      </c>
      <c r="C8" s="4">
        <f>lc!E241</f>
        <v>174.49749893293236</v>
      </c>
      <c r="D8" t="s">
        <v>965</v>
      </c>
    </row>
    <row r="9" spans="1:4" x14ac:dyDescent="0.35">
      <c r="A9">
        <v>8</v>
      </c>
      <c r="B9" s="2" t="s">
        <v>926</v>
      </c>
      <c r="C9" s="4">
        <f>lc!E242</f>
        <v>20426.41998981046</v>
      </c>
      <c r="D9" t="s">
        <v>966</v>
      </c>
    </row>
    <row r="10" spans="1:4" x14ac:dyDescent="0.35">
      <c r="A10">
        <v>9</v>
      </c>
      <c r="B10" s="2" t="s">
        <v>927</v>
      </c>
      <c r="C10" s="4">
        <f>lc!E264</f>
        <v>2525.6736007737991</v>
      </c>
      <c r="D10" t="s">
        <v>969</v>
      </c>
    </row>
    <row r="11" spans="1:4" x14ac:dyDescent="0.35">
      <c r="A11">
        <v>10</v>
      </c>
      <c r="B11" s="2" t="s">
        <v>928</v>
      </c>
      <c r="C11" s="4">
        <f>lc!E265</f>
        <v>852.80793304353006</v>
      </c>
      <c r="D11" t="s">
        <v>970</v>
      </c>
    </row>
    <row r="12" spans="1:4" x14ac:dyDescent="0.35">
      <c r="A12">
        <v>11</v>
      </c>
      <c r="B12" s="2" t="s">
        <v>930</v>
      </c>
      <c r="C12" s="4">
        <f>lc!E266</f>
        <v>15.747784219999998</v>
      </c>
      <c r="D12" t="s">
        <v>971</v>
      </c>
    </row>
    <row r="13" spans="1:4" x14ac:dyDescent="0.35">
      <c r="A13">
        <v>12</v>
      </c>
      <c r="B13" s="2" t="s">
        <v>929</v>
      </c>
      <c r="C13" s="4">
        <f>lc!E267</f>
        <v>240.18080979833192</v>
      </c>
      <c r="D13" t="s">
        <v>972</v>
      </c>
    </row>
    <row r="14" spans="1:4" x14ac:dyDescent="0.35">
      <c r="A14">
        <v>13</v>
      </c>
      <c r="B14" s="2" t="s">
        <v>939</v>
      </c>
      <c r="C14" s="4">
        <f>lc!E284</f>
        <v>3477.8240000000001</v>
      </c>
      <c r="D14" t="s">
        <v>973</v>
      </c>
    </row>
    <row r="15" spans="1:4" x14ac:dyDescent="0.35">
      <c r="A15">
        <v>14</v>
      </c>
      <c r="B15" s="2" t="s">
        <v>940</v>
      </c>
      <c r="C15" s="4">
        <f>lc!E285</f>
        <v>3112.0619999999999</v>
      </c>
      <c r="D15" t="s">
        <v>974</v>
      </c>
    </row>
    <row r="16" spans="1:4" x14ac:dyDescent="0.35">
      <c r="A16">
        <v>15</v>
      </c>
      <c r="B16" s="2" t="s">
        <v>941</v>
      </c>
      <c r="C16" s="4">
        <f>lc!E286</f>
        <v>82.352999999999994</v>
      </c>
      <c r="D16" t="s">
        <v>975</v>
      </c>
    </row>
    <row r="17" spans="1:4" x14ac:dyDescent="0.35">
      <c r="A17">
        <v>16</v>
      </c>
      <c r="B17" s="2" t="s">
        <v>942</v>
      </c>
      <c r="C17" s="4">
        <f>lc!E287</f>
        <v>867.10597190928115</v>
      </c>
      <c r="D17" t="s">
        <v>976</v>
      </c>
    </row>
    <row r="18" spans="1:4" x14ac:dyDescent="0.35">
      <c r="A18">
        <v>17</v>
      </c>
      <c r="B18" s="2" t="s">
        <v>951</v>
      </c>
      <c r="C18" s="4">
        <f>lc!E246</f>
        <v>7015.2254221561952</v>
      </c>
      <c r="D18" t="s">
        <v>977</v>
      </c>
    </row>
    <row r="19" spans="1:4" x14ac:dyDescent="0.35">
      <c r="A19">
        <v>18</v>
      </c>
      <c r="B19" s="2" t="s">
        <v>931</v>
      </c>
      <c r="C19" s="4">
        <f>lc!E270</f>
        <v>0</v>
      </c>
      <c r="D19" t="str">
        <f t="shared" ref="D19:D27" si="0">D10&amp;", federal"</f>
        <v>Public consumption, education, basic, federal</v>
      </c>
    </row>
    <row r="20" spans="1:4" x14ac:dyDescent="0.35">
      <c r="A20">
        <v>19</v>
      </c>
      <c r="B20" s="2" t="s">
        <v>932</v>
      </c>
      <c r="C20" s="4">
        <f>lc!E271</f>
        <v>7.2024000000000005E-2</v>
      </c>
      <c r="D20" t="str">
        <f t="shared" si="0"/>
        <v>Public consumption, education, higher, federal</v>
      </c>
    </row>
    <row r="21" spans="1:4" x14ac:dyDescent="0.35">
      <c r="A21">
        <v>20</v>
      </c>
      <c r="B21" s="2" t="s">
        <v>933</v>
      </c>
      <c r="C21" s="4">
        <f>lc!E272</f>
        <v>15.747784219999998</v>
      </c>
      <c r="D21" t="str">
        <f t="shared" si="0"/>
        <v>Public consumption, education, technical-vocational, federal</v>
      </c>
    </row>
    <row r="22" spans="1:4" x14ac:dyDescent="0.35">
      <c r="A22">
        <v>21</v>
      </c>
      <c r="B22" s="2" t="s">
        <v>934</v>
      </c>
      <c r="C22" s="4">
        <f>lc!E273</f>
        <v>8.5765399999999992E-2</v>
      </c>
      <c r="D22" t="str">
        <f t="shared" si="0"/>
        <v>Public consumption, education, others, federal</v>
      </c>
    </row>
    <row r="23" spans="1:4" x14ac:dyDescent="0.35">
      <c r="A23">
        <v>22</v>
      </c>
      <c r="B23" s="2" t="s">
        <v>943</v>
      </c>
      <c r="C23" s="4">
        <f>lc!E290</f>
        <v>3477.8240000000001</v>
      </c>
      <c r="D23" t="str">
        <f t="shared" si="0"/>
        <v>Public consumption, health, medicare, federal</v>
      </c>
    </row>
    <row r="24" spans="1:4" x14ac:dyDescent="0.35">
      <c r="A24">
        <v>23</v>
      </c>
      <c r="B24" s="2" t="s">
        <v>944</v>
      </c>
      <c r="C24" s="4">
        <f>lc!E291</f>
        <v>1556.0309999999999</v>
      </c>
      <c r="D24" t="str">
        <f t="shared" si="0"/>
        <v>Public consumption, health, medicaid, federal</v>
      </c>
    </row>
    <row r="25" spans="1:4" x14ac:dyDescent="0.35">
      <c r="A25">
        <v>24</v>
      </c>
      <c r="B25" s="2" t="s">
        <v>945</v>
      </c>
      <c r="C25" s="4">
        <f>lc!E292</f>
        <v>0</v>
      </c>
      <c r="D25" t="str">
        <f t="shared" si="0"/>
        <v>Public consumption, health, public assistance, federal</v>
      </c>
    </row>
    <row r="26" spans="1:4" x14ac:dyDescent="0.35">
      <c r="A26">
        <v>25</v>
      </c>
      <c r="B26" s="2" t="s">
        <v>946</v>
      </c>
      <c r="C26" s="4">
        <f>lc!E293</f>
        <v>0.88782009000000006</v>
      </c>
      <c r="D26" t="str">
        <f t="shared" si="0"/>
        <v>Public consumption, health, others, federal</v>
      </c>
    </row>
    <row r="27" spans="1:4" x14ac:dyDescent="0.35">
      <c r="A27">
        <v>26</v>
      </c>
      <c r="B27" s="2" t="s">
        <v>952</v>
      </c>
      <c r="C27" s="4">
        <f>lc!E250</f>
        <v>4482.152555764932</v>
      </c>
      <c r="D27" t="str">
        <f t="shared" si="0"/>
        <v>Public consumption, others, not elsewhere classified, federal</v>
      </c>
    </row>
    <row r="28" spans="1:4" x14ac:dyDescent="0.35">
      <c r="A28">
        <v>27</v>
      </c>
      <c r="B28" s="2" t="s">
        <v>935</v>
      </c>
      <c r="C28" s="4">
        <f>lc!E276</f>
        <v>2525.6736007737991</v>
      </c>
      <c r="D28" t="str">
        <f>D10&amp;", state and local"</f>
        <v>Public consumption, education, basic, state and local</v>
      </c>
    </row>
    <row r="29" spans="1:4" x14ac:dyDescent="0.35">
      <c r="A29">
        <v>28</v>
      </c>
      <c r="B29" s="2" t="s">
        <v>936</v>
      </c>
      <c r="C29" s="4">
        <f>lc!E277</f>
        <v>852.73590904353</v>
      </c>
      <c r="D29" t="str">
        <f t="shared" ref="D29:D36" si="1">D11&amp;", state and local"</f>
        <v>Public consumption, education, higher, state and local</v>
      </c>
    </row>
    <row r="30" spans="1:4" x14ac:dyDescent="0.35">
      <c r="A30">
        <v>29</v>
      </c>
      <c r="B30" s="2" t="s">
        <v>937</v>
      </c>
      <c r="C30" s="4">
        <f>lc!E278</f>
        <v>0</v>
      </c>
      <c r="D30" t="str">
        <f t="shared" si="1"/>
        <v>Public consumption, education, technical-vocational, state and local</v>
      </c>
    </row>
    <row r="31" spans="1:4" x14ac:dyDescent="0.35">
      <c r="A31">
        <v>30</v>
      </c>
      <c r="B31" s="2" t="s">
        <v>938</v>
      </c>
      <c r="C31" s="4">
        <f>lc!E279</f>
        <v>240.09504439833191</v>
      </c>
      <c r="D31" t="str">
        <f t="shared" si="1"/>
        <v>Public consumption, education, others, state and local</v>
      </c>
    </row>
    <row r="32" spans="1:4" x14ac:dyDescent="0.35">
      <c r="A32">
        <v>31</v>
      </c>
      <c r="B32" s="2" t="s">
        <v>947</v>
      </c>
      <c r="C32" s="4">
        <f>lc!E296</f>
        <v>0</v>
      </c>
      <c r="D32" t="str">
        <f t="shared" si="1"/>
        <v>Public consumption, health, medicare, state and local</v>
      </c>
    </row>
    <row r="33" spans="1:4" x14ac:dyDescent="0.35">
      <c r="A33">
        <v>32</v>
      </c>
      <c r="B33" s="2" t="s">
        <v>948</v>
      </c>
      <c r="C33" s="4">
        <f>lc!E297</f>
        <v>1556.0309999999999</v>
      </c>
      <c r="D33" t="str">
        <f t="shared" si="1"/>
        <v>Public consumption, health, medicaid, state and local</v>
      </c>
    </row>
    <row r="34" spans="1:4" x14ac:dyDescent="0.35">
      <c r="A34">
        <v>33</v>
      </c>
      <c r="B34" s="2" t="s">
        <v>949</v>
      </c>
      <c r="C34" s="4">
        <f>lc!E298</f>
        <v>82.352999999999994</v>
      </c>
      <c r="D34" t="str">
        <f t="shared" si="1"/>
        <v>Public consumption, health, public assistance, state and local</v>
      </c>
    </row>
    <row r="35" spans="1:4" x14ac:dyDescent="0.35">
      <c r="A35">
        <v>34</v>
      </c>
      <c r="B35" s="2" t="s">
        <v>950</v>
      </c>
      <c r="C35" s="4">
        <f>lc!E299</f>
        <v>866.21815181928116</v>
      </c>
      <c r="D35" t="str">
        <f t="shared" si="1"/>
        <v>Public consumption, health, others, state and local</v>
      </c>
    </row>
    <row r="36" spans="1:4" x14ac:dyDescent="0.35">
      <c r="A36">
        <v>35</v>
      </c>
      <c r="B36" s="2" t="s">
        <v>953</v>
      </c>
      <c r="C36" s="4">
        <f>lc!E254</f>
        <v>2533.0728663912632</v>
      </c>
      <c r="D36" t="str">
        <f t="shared" si="1"/>
        <v>Public consumption, others, not elsewhere classified, state and local</v>
      </c>
    </row>
    <row r="37" spans="1:4" x14ac:dyDescent="0.35">
      <c r="A37">
        <v>36</v>
      </c>
      <c r="B37" s="2" t="s">
        <v>954</v>
      </c>
      <c r="C37" s="4">
        <f>lc!E256</f>
        <v>55031.399999999994</v>
      </c>
      <c r="D37" t="s">
        <v>967</v>
      </c>
    </row>
    <row r="38" spans="1:4" x14ac:dyDescent="0.35">
      <c r="A38">
        <v>37</v>
      </c>
      <c r="B38" s="2" t="s">
        <v>955</v>
      </c>
      <c r="C38" s="4">
        <f>lc!E257</f>
        <v>4347.333333333333</v>
      </c>
      <c r="D38" t="s">
        <v>968</v>
      </c>
    </row>
    <row r="39" spans="1:4" x14ac:dyDescent="0.35">
      <c r="A39">
        <v>38</v>
      </c>
      <c r="B39" s="4" t="s">
        <v>978</v>
      </c>
      <c r="C39" s="4">
        <f>rg!E164</f>
        <v>5517.7290000000003</v>
      </c>
      <c r="D39" t="s">
        <v>995</v>
      </c>
    </row>
    <row r="40" spans="1:4" x14ac:dyDescent="0.35">
      <c r="A40">
        <v>39</v>
      </c>
      <c r="B40" s="4" t="s">
        <v>979</v>
      </c>
      <c r="C40" s="4">
        <f>rg!E167</f>
        <v>165.19399999999999</v>
      </c>
      <c r="D40" t="s">
        <v>996</v>
      </c>
    </row>
    <row r="41" spans="1:4" x14ac:dyDescent="0.35">
      <c r="A41">
        <v>40</v>
      </c>
      <c r="B41" s="4" t="s">
        <v>980</v>
      </c>
      <c r="C41" s="4">
        <f>rg!E168</f>
        <v>224.17400000000001</v>
      </c>
      <c r="D41" t="s">
        <v>997</v>
      </c>
    </row>
    <row r="42" spans="1:4" x14ac:dyDescent="0.35">
      <c r="A42">
        <v>41</v>
      </c>
      <c r="B42" s="4" t="s">
        <v>981</v>
      </c>
      <c r="C42" s="4">
        <f>rg!E169</f>
        <v>934.726</v>
      </c>
      <c r="D42" t="s">
        <v>998</v>
      </c>
    </row>
    <row r="43" spans="1:4" x14ac:dyDescent="0.35">
      <c r="A43">
        <v>42</v>
      </c>
      <c r="B43" s="4" t="s">
        <v>982</v>
      </c>
      <c r="C43" s="4">
        <f>rg!E170</f>
        <v>876.81</v>
      </c>
      <c r="D43" t="s">
        <v>999</v>
      </c>
    </row>
    <row r="44" spans="1:4" x14ac:dyDescent="0.35">
      <c r="A44">
        <v>43</v>
      </c>
      <c r="B44" s="4" t="s">
        <v>983</v>
      </c>
      <c r="C44" s="4">
        <f>rg!E171</f>
        <v>153.19800000000001</v>
      </c>
      <c r="D44" t="s">
        <v>1000</v>
      </c>
    </row>
    <row r="45" spans="1:4" x14ac:dyDescent="0.35">
      <c r="A45">
        <v>44</v>
      </c>
      <c r="B45" s="4" t="s">
        <v>984</v>
      </c>
      <c r="C45" s="4">
        <f>rg!E172</f>
        <v>1079.2329999999999</v>
      </c>
      <c r="D45" t="s">
        <v>1001</v>
      </c>
    </row>
    <row r="46" spans="1:4" x14ac:dyDescent="0.35">
      <c r="A46">
        <v>45</v>
      </c>
      <c r="B46" s="4" t="s">
        <v>985</v>
      </c>
      <c r="C46" s="4">
        <f>rg!E173</f>
        <v>196.81000000000003</v>
      </c>
      <c r="D46" t="s">
        <v>1002</v>
      </c>
    </row>
    <row r="47" spans="1:4" x14ac:dyDescent="0.35">
      <c r="A47">
        <v>46</v>
      </c>
      <c r="B47" s="4" t="s">
        <v>1072</v>
      </c>
      <c r="C47" s="4">
        <f>rg!E174</f>
        <v>351.79455924284667</v>
      </c>
      <c r="D47" t="s">
        <v>1003</v>
      </c>
    </row>
    <row r="48" spans="1:4" x14ac:dyDescent="0.35">
      <c r="A48">
        <v>47</v>
      </c>
      <c r="B48" s="4" t="s">
        <v>986</v>
      </c>
      <c r="C48" s="4">
        <f>rg!F164</f>
        <v>5517.7290000000003</v>
      </c>
      <c r="D48" t="str">
        <f>D39&amp;", federal"</f>
        <v>Public transfers, inflows, OASDI (pension and disability benefits), federal</v>
      </c>
    </row>
    <row r="49" spans="1:4" x14ac:dyDescent="0.35">
      <c r="A49">
        <v>48</v>
      </c>
      <c r="B49" s="4" t="s">
        <v>987</v>
      </c>
      <c r="C49" s="4">
        <f>rg!F167</f>
        <v>165.19399999999999</v>
      </c>
      <c r="D49" t="str">
        <f t="shared" ref="D49:D56" si="2">D40&amp;", federal"</f>
        <v>Public transfers, inflows, other cash, SSI, federal</v>
      </c>
    </row>
    <row r="50" spans="1:4" x14ac:dyDescent="0.35">
      <c r="A50">
        <v>49</v>
      </c>
      <c r="B50" s="4" t="s">
        <v>988</v>
      </c>
      <c r="C50" s="4">
        <f>rg!F168</f>
        <v>224.17400000000001</v>
      </c>
      <c r="D50" t="str">
        <f t="shared" si="2"/>
        <v>Public transfers, inflows, other cash, EITC, federal</v>
      </c>
    </row>
    <row r="51" spans="1:4" x14ac:dyDescent="0.35">
      <c r="A51">
        <v>50</v>
      </c>
      <c r="B51" s="4" t="s">
        <v>989</v>
      </c>
      <c r="C51" s="4">
        <f>rg!F169</f>
        <v>934.726</v>
      </c>
      <c r="D51" t="str">
        <f t="shared" si="2"/>
        <v>Public transfers, inflows, other cash, SNAP, federal</v>
      </c>
    </row>
    <row r="52" spans="1:4" x14ac:dyDescent="0.35">
      <c r="A52">
        <v>51</v>
      </c>
      <c r="B52" s="4" t="s">
        <v>990</v>
      </c>
      <c r="C52" s="4">
        <f>rg!F170</f>
        <v>560.20953653294418</v>
      </c>
      <c r="D52" t="str">
        <f t="shared" si="2"/>
        <v>Public transfers, inflows, other cash, other maintenance income benefits, federal</v>
      </c>
    </row>
    <row r="53" spans="1:4" x14ac:dyDescent="0.35">
      <c r="A53">
        <v>52</v>
      </c>
      <c r="B53" s="4" t="s">
        <v>991</v>
      </c>
      <c r="C53" s="4">
        <f>rg!F171</f>
        <v>3.5760000000000001</v>
      </c>
      <c r="D53" t="str">
        <f t="shared" si="2"/>
        <v>Public transfers, inflows, other cash, unemployment benefits, federal</v>
      </c>
    </row>
    <row r="54" spans="1:4" x14ac:dyDescent="0.35">
      <c r="A54">
        <v>53</v>
      </c>
      <c r="B54" s="4" t="s">
        <v>992</v>
      </c>
      <c r="C54" s="4">
        <f>rg!F172</f>
        <v>1079.2329999999999</v>
      </c>
      <c r="D54" t="str">
        <f t="shared" si="2"/>
        <v>Public transfers, inflows, other cash, veterans' benefits, federal</v>
      </c>
    </row>
    <row r="55" spans="1:4" x14ac:dyDescent="0.35">
      <c r="A55">
        <v>54</v>
      </c>
      <c r="B55" s="4" t="s">
        <v>993</v>
      </c>
      <c r="C55" s="4">
        <f>rg!F173</f>
        <v>0.86131609643526386</v>
      </c>
      <c r="D55" t="str">
        <f t="shared" si="2"/>
        <v>Public transfers, inflows, other cash, education and training assistance, federal</v>
      </c>
    </row>
    <row r="56" spans="1:4" x14ac:dyDescent="0.35">
      <c r="A56">
        <v>55</v>
      </c>
      <c r="B56" s="4" t="s">
        <v>1071</v>
      </c>
      <c r="C56" s="4">
        <f>rg!F174</f>
        <v>181.76601732367601</v>
      </c>
      <c r="D56" t="str">
        <f t="shared" si="2"/>
        <v>Public transfers, inflows, other cash, not elsewhere classified, federal</v>
      </c>
    </row>
    <row r="57" spans="1:4" x14ac:dyDescent="0.35">
      <c r="A57">
        <v>56</v>
      </c>
      <c r="B57" s="4" t="s">
        <v>1004</v>
      </c>
      <c r="C57" s="4">
        <f>rg!G164</f>
        <v>0</v>
      </c>
      <c r="D57" t="str">
        <f t="shared" ref="D57:D64" si="3">D39&amp;", state and local"</f>
        <v>Public transfers, inflows, OASDI (pension and disability benefits), state and local</v>
      </c>
    </row>
    <row r="58" spans="1:4" x14ac:dyDescent="0.35">
      <c r="A58">
        <v>57</v>
      </c>
      <c r="B58" s="4" t="s">
        <v>1005</v>
      </c>
      <c r="C58" s="4">
        <f>rg!G167</f>
        <v>0</v>
      </c>
      <c r="D58" t="str">
        <f t="shared" si="3"/>
        <v>Public transfers, inflows, other cash, SSI, state and local</v>
      </c>
    </row>
    <row r="59" spans="1:4" x14ac:dyDescent="0.35">
      <c r="A59">
        <v>58</v>
      </c>
      <c r="B59" s="4" t="s">
        <v>1006</v>
      </c>
      <c r="C59" s="4">
        <f>rg!G168</f>
        <v>0</v>
      </c>
      <c r="D59" t="str">
        <f t="shared" si="3"/>
        <v>Public transfers, inflows, other cash, EITC, state and local</v>
      </c>
    </row>
    <row r="60" spans="1:4" x14ac:dyDescent="0.35">
      <c r="A60">
        <v>59</v>
      </c>
      <c r="B60" s="4" t="s">
        <v>1007</v>
      </c>
      <c r="C60" s="4">
        <f>rg!G169</f>
        <v>0</v>
      </c>
      <c r="D60" t="str">
        <f t="shared" si="3"/>
        <v>Public transfers, inflows, other cash, SNAP, state and local</v>
      </c>
    </row>
    <row r="61" spans="1:4" x14ac:dyDescent="0.35">
      <c r="A61">
        <v>60</v>
      </c>
      <c r="B61" s="4" t="s">
        <v>1008</v>
      </c>
      <c r="C61" s="4">
        <f>rg!G170</f>
        <v>316.60046346705576</v>
      </c>
      <c r="D61" t="str">
        <f t="shared" si="3"/>
        <v>Public transfers, inflows, other cash, other maintenance income benefits, state and local</v>
      </c>
    </row>
    <row r="62" spans="1:4" x14ac:dyDescent="0.35">
      <c r="A62">
        <v>61</v>
      </c>
      <c r="B62" s="4" t="s">
        <v>1009</v>
      </c>
      <c r="C62" s="4">
        <f>rg!G171</f>
        <v>149.62200000000001</v>
      </c>
      <c r="D62" t="str">
        <f t="shared" si="3"/>
        <v>Public transfers, inflows, other cash, unemployment benefits, state and local</v>
      </c>
    </row>
    <row r="63" spans="1:4" x14ac:dyDescent="0.35">
      <c r="A63">
        <v>62</v>
      </c>
      <c r="B63" s="4" t="s">
        <v>1010</v>
      </c>
      <c r="C63" s="4">
        <f>rg!G172</f>
        <v>0</v>
      </c>
      <c r="D63" t="str">
        <f t="shared" si="3"/>
        <v>Public transfers, inflows, other cash, veterans' benefits, state and local</v>
      </c>
    </row>
    <row r="64" spans="1:4" x14ac:dyDescent="0.35">
      <c r="A64">
        <v>63</v>
      </c>
      <c r="B64" s="4" t="s">
        <v>1011</v>
      </c>
      <c r="C64" s="4">
        <f>rg!G173</f>
        <v>195.94868390356476</v>
      </c>
      <c r="D64" t="str">
        <f t="shared" si="3"/>
        <v>Public transfers, inflows, other cash, education and training assistance, state and local</v>
      </c>
    </row>
    <row r="65" spans="1:4" x14ac:dyDescent="0.35">
      <c r="A65">
        <v>64</v>
      </c>
      <c r="B65" s="4" t="s">
        <v>1073</v>
      </c>
      <c r="C65" s="4">
        <f>rg!G174</f>
        <v>170.02854191917066</v>
      </c>
      <c r="D65" t="str">
        <f>D47&amp;", state and local"</f>
        <v>Public transfers, inflows, other cash, not elsewhere classified, state and local</v>
      </c>
    </row>
    <row r="66" spans="1:4" x14ac:dyDescent="0.35">
      <c r="A66">
        <v>65</v>
      </c>
      <c r="B66" s="4" t="s">
        <v>1012</v>
      </c>
      <c r="C66" s="4">
        <f>rg!G180</f>
        <v>38.591001263589739</v>
      </c>
      <c r="D66" t="s">
        <v>1026</v>
      </c>
    </row>
    <row r="67" spans="1:4" x14ac:dyDescent="0.35">
      <c r="A67">
        <v>66</v>
      </c>
      <c r="B67" s="4" t="s">
        <v>1013</v>
      </c>
      <c r="C67" s="4">
        <f>rg!G181</f>
        <v>92.705360488205116</v>
      </c>
      <c r="D67" t="s">
        <v>1027</v>
      </c>
    </row>
    <row r="68" spans="1:4" x14ac:dyDescent="0.35">
      <c r="A68">
        <v>67</v>
      </c>
      <c r="B68" s="4" t="s">
        <v>1014</v>
      </c>
      <c r="C68" s="4">
        <f>rg!G182</f>
        <v>4561.3451979672091</v>
      </c>
      <c r="D68" t="s">
        <v>1028</v>
      </c>
    </row>
    <row r="69" spans="1:4" x14ac:dyDescent="0.35">
      <c r="A69">
        <v>68</v>
      </c>
      <c r="B69" s="4" t="s">
        <v>1020</v>
      </c>
      <c r="C69" s="4">
        <f>rg!G186</f>
        <v>202.89969908200354</v>
      </c>
      <c r="D69" t="s">
        <v>1031</v>
      </c>
    </row>
    <row r="70" spans="1:4" x14ac:dyDescent="0.35">
      <c r="A70">
        <v>69</v>
      </c>
      <c r="B70" s="4" t="s">
        <v>1021</v>
      </c>
      <c r="C70" s="4">
        <f>rg!G187</f>
        <v>2823.6973319155031</v>
      </c>
      <c r="D70" t="s">
        <v>1032</v>
      </c>
    </row>
    <row r="71" spans="1:4" x14ac:dyDescent="0.35">
      <c r="A71">
        <v>70</v>
      </c>
      <c r="B71" s="4" t="s">
        <v>1016</v>
      </c>
      <c r="C71" s="4">
        <f>rg!G189</f>
        <v>2862.645460732233</v>
      </c>
      <c r="D71" t="s">
        <v>1029</v>
      </c>
    </row>
    <row r="72" spans="1:4" x14ac:dyDescent="0.35">
      <c r="A72">
        <v>71</v>
      </c>
      <c r="B72" s="4" t="s">
        <v>1015</v>
      </c>
      <c r="C72" s="4">
        <f>rg!G190</f>
        <v>177.47388340447401</v>
      </c>
      <c r="D72" t="s">
        <v>1030</v>
      </c>
    </row>
    <row r="73" spans="1:4" x14ac:dyDescent="0.35">
      <c r="A73">
        <v>72</v>
      </c>
      <c r="B73" s="4" t="s">
        <v>1017</v>
      </c>
      <c r="C73" s="4">
        <f>rg!G192</f>
        <v>0</v>
      </c>
      <c r="D73" t="s">
        <v>1034</v>
      </c>
    </row>
    <row r="74" spans="1:4" x14ac:dyDescent="0.35">
      <c r="A74">
        <v>73</v>
      </c>
      <c r="B74" s="4" t="s">
        <v>1018</v>
      </c>
      <c r="C74" s="4">
        <f>rg!G193</f>
        <v>0</v>
      </c>
      <c r="D74" t="s">
        <v>1035</v>
      </c>
    </row>
    <row r="75" spans="1:4" x14ac:dyDescent="0.35">
      <c r="A75">
        <v>74</v>
      </c>
      <c r="B75" s="4" t="s">
        <v>1019</v>
      </c>
      <c r="C75" s="107">
        <v>0</v>
      </c>
      <c r="D75" t="s">
        <v>1033</v>
      </c>
    </row>
    <row r="76" spans="1:4" x14ac:dyDescent="0.35">
      <c r="A76">
        <v>75</v>
      </c>
      <c r="B76" s="4" t="s">
        <v>1022</v>
      </c>
      <c r="C76" s="4">
        <f>rg!G195</f>
        <v>0</v>
      </c>
      <c r="D76" t="s">
        <v>1036</v>
      </c>
    </row>
    <row r="77" spans="1:4" x14ac:dyDescent="0.35">
      <c r="A77">
        <v>76</v>
      </c>
      <c r="B77" s="4" t="s">
        <v>1023</v>
      </c>
      <c r="C77" s="4">
        <f>rg!G196</f>
        <v>0</v>
      </c>
      <c r="D77" t="s">
        <v>1037</v>
      </c>
    </row>
    <row r="78" spans="1:4" x14ac:dyDescent="0.35">
      <c r="A78">
        <v>77</v>
      </c>
      <c r="B78" s="4" t="s">
        <v>1024</v>
      </c>
      <c r="C78" s="4">
        <f>rg!G197</f>
        <v>238</v>
      </c>
      <c r="D78" t="s">
        <v>1038</v>
      </c>
    </row>
    <row r="79" spans="1:4" x14ac:dyDescent="0.35">
      <c r="A79">
        <v>78</v>
      </c>
      <c r="B79" s="4" t="s">
        <v>1025</v>
      </c>
      <c r="C79" s="4">
        <f>rg!G198</f>
        <v>-2562.9620848780341</v>
      </c>
      <c r="D79" t="s">
        <v>1039</v>
      </c>
    </row>
    <row r="80" spans="1:4" x14ac:dyDescent="0.35">
      <c r="A80">
        <v>79</v>
      </c>
      <c r="B80" s="4" t="str">
        <f t="shared" ref="B80:B93" si="4">B66&amp;"_F"</f>
        <v>TGFGA_F</v>
      </c>
      <c r="C80" s="4">
        <f>rg!F180</f>
        <v>0</v>
      </c>
      <c r="D80" t="str">
        <f>D66&amp;", federal"</f>
        <v>Public tranfers, outflows, taxes on goods and services, alcoholic beverages, federal</v>
      </c>
    </row>
    <row r="81" spans="1:4" x14ac:dyDescent="0.35">
      <c r="A81">
        <v>80</v>
      </c>
      <c r="B81" s="4" t="str">
        <f t="shared" si="4"/>
        <v>TGFGT_F</v>
      </c>
      <c r="C81" s="4">
        <f>rg!F181</f>
        <v>0</v>
      </c>
      <c r="D81" t="str">
        <f t="shared" ref="D81:D93" si="5">D67&amp;", federal"</f>
        <v>Public tranfers, outflows, taxes on goods and services, tobacco products, federal</v>
      </c>
    </row>
    <row r="82" spans="1:4" x14ac:dyDescent="0.35">
      <c r="A82">
        <v>81</v>
      </c>
      <c r="B82" s="4" t="str">
        <f t="shared" si="4"/>
        <v>TGFGX_F</v>
      </c>
      <c r="C82" s="4">
        <f>rg!F182</f>
        <v>148.18416645383135</v>
      </c>
      <c r="D82" t="str">
        <f t="shared" si="5"/>
        <v>Public tranfers, outflows, taxes on goods and services, others not elsewhere classified, federal</v>
      </c>
    </row>
    <row r="83" spans="1:4" x14ac:dyDescent="0.35">
      <c r="A83">
        <v>82</v>
      </c>
      <c r="B83" s="4" t="str">
        <f t="shared" si="4"/>
        <v>TGFKM_F</v>
      </c>
      <c r="C83" s="4">
        <f>rg!F186</f>
        <v>0</v>
      </c>
      <c r="D83" t="str">
        <f t="shared" si="5"/>
        <v>Public tranfers, outflows, taxes on property, mixed income, federal</v>
      </c>
    </row>
    <row r="84" spans="1:4" x14ac:dyDescent="0.35">
      <c r="A84">
        <v>83</v>
      </c>
      <c r="B84" s="4" t="str">
        <f t="shared" si="4"/>
        <v>TGFKC_F</v>
      </c>
      <c r="C84" s="4">
        <f>rg!F187</f>
        <v>0</v>
      </c>
      <c r="D84" t="str">
        <f t="shared" si="5"/>
        <v>Public tranfers, outflows, taxes on property, corporations, federal</v>
      </c>
    </row>
    <row r="85" spans="1:4" x14ac:dyDescent="0.35">
      <c r="A85">
        <v>84</v>
      </c>
      <c r="B85" s="4" t="str">
        <f t="shared" si="4"/>
        <v>TGFKH_F</v>
      </c>
      <c r="C85" s="4">
        <f>rg!F189</f>
        <v>11391.519638244947</v>
      </c>
      <c r="D85" t="str">
        <f t="shared" si="5"/>
        <v>Public tranfers, outflows, taxes on income, profits and capital gains, households, federal</v>
      </c>
    </row>
    <row r="86" spans="1:4" x14ac:dyDescent="0.35">
      <c r="A86">
        <v>85</v>
      </c>
      <c r="B86" s="4" t="str">
        <f t="shared" si="4"/>
        <v>TGFKB_F</v>
      </c>
      <c r="C86" s="4">
        <f>rg!F190</f>
        <v>629.43399999999997</v>
      </c>
      <c r="D86" t="str">
        <f t="shared" si="5"/>
        <v>Public tranfers, outflows, taxes on income, profits and capital gains, businesses, federal</v>
      </c>
    </row>
    <row r="87" spans="1:4" x14ac:dyDescent="0.35">
      <c r="A87">
        <v>86</v>
      </c>
      <c r="B87" s="4" t="str">
        <f t="shared" si="4"/>
        <v>TGFPT_F</v>
      </c>
      <c r="C87" s="4">
        <f>rg!F192</f>
        <v>143.30000000000001</v>
      </c>
      <c r="D87" t="str">
        <f t="shared" si="5"/>
        <v>Public transfers, outflows, taxes on property, estate and trust , federal</v>
      </c>
    </row>
    <row r="88" spans="1:4" x14ac:dyDescent="0.35">
      <c r="A88">
        <v>87</v>
      </c>
      <c r="B88" s="4" t="str">
        <f t="shared" si="4"/>
        <v>TGFPG_F</v>
      </c>
      <c r="C88" s="4">
        <f>rg!F193</f>
        <v>41.634999999999998</v>
      </c>
      <c r="D88" t="str">
        <f t="shared" si="5"/>
        <v>Public transfers, outflows, taxes on property, estate and gifts, federal</v>
      </c>
    </row>
    <row r="89" spans="1:4" x14ac:dyDescent="0.35">
      <c r="A89">
        <v>88</v>
      </c>
      <c r="B89" s="4" t="str">
        <f t="shared" si="4"/>
        <v>TGFPR_F</v>
      </c>
      <c r="C89" s="107">
        <v>0</v>
      </c>
      <c r="D89" t="str">
        <f t="shared" si="5"/>
        <v>Public transfers, outflows, taxes on property, others, federal</v>
      </c>
    </row>
    <row r="90" spans="1:4" x14ac:dyDescent="0.35">
      <c r="A90">
        <v>89</v>
      </c>
      <c r="B90" s="4" t="str">
        <f t="shared" si="4"/>
        <v>TGPFICA_F</v>
      </c>
      <c r="C90" s="4">
        <f>rg!F195</f>
        <v>5430.7964148986393</v>
      </c>
      <c r="D90" t="str">
        <f t="shared" si="5"/>
        <v>Public transfers, outflows, social contributions, FICA, federal</v>
      </c>
    </row>
    <row r="91" spans="1:4" x14ac:dyDescent="0.35">
      <c r="A91">
        <v>90</v>
      </c>
      <c r="B91" s="4" t="str">
        <f t="shared" si="4"/>
        <v>TGPSECA_F</v>
      </c>
      <c r="C91" s="4">
        <f>rg!F196</f>
        <v>285.33072260260207</v>
      </c>
      <c r="D91" t="str">
        <f t="shared" si="5"/>
        <v>Public transfers, outflows, social contributions, SECA , federal</v>
      </c>
    </row>
    <row r="92" spans="1:4" x14ac:dyDescent="0.35">
      <c r="A92">
        <v>91</v>
      </c>
      <c r="B92" s="4" t="str">
        <f t="shared" si="4"/>
        <v>TGPUNEMP_F</v>
      </c>
      <c r="C92" s="4">
        <f>rg!F197</f>
        <v>17.207999999999998</v>
      </c>
      <c r="D92" t="str">
        <f t="shared" si="5"/>
        <v>Public transfers, outflows, social contributions, Unemployment insurance, federal</v>
      </c>
    </row>
    <row r="93" spans="1:4" x14ac:dyDescent="0.35">
      <c r="A93">
        <v>92</v>
      </c>
      <c r="B93" s="4" t="str">
        <f t="shared" si="4"/>
        <v>TGD_F</v>
      </c>
      <c r="C93" s="4">
        <f>rg!F198</f>
        <v>1804.1146453627298</v>
      </c>
      <c r="D93" t="str">
        <f t="shared" si="5"/>
        <v>Public transfers, deficit/surplus, federal</v>
      </c>
    </row>
    <row r="94" spans="1:4" x14ac:dyDescent="0.35">
      <c r="A94">
        <v>93</v>
      </c>
      <c r="B94" s="4" t="str">
        <f t="shared" ref="B94:B107" si="6">B66&amp;"_S"</f>
        <v>TGFGA_S</v>
      </c>
      <c r="C94" s="4">
        <f>rg!G180</f>
        <v>38.591001263589739</v>
      </c>
      <c r="D94" t="str">
        <f t="shared" ref="D94:D106" si="7">D66&amp;", state and local"</f>
        <v>Public tranfers, outflows, taxes on goods and services, alcoholic beverages, state and local</v>
      </c>
    </row>
    <row r="95" spans="1:4" x14ac:dyDescent="0.35">
      <c r="A95">
        <v>94</v>
      </c>
      <c r="B95" s="4" t="str">
        <f t="shared" si="6"/>
        <v>TGFGT_S</v>
      </c>
      <c r="C95" s="4">
        <f>rg!G181</f>
        <v>92.705360488205116</v>
      </c>
      <c r="D95" t="str">
        <f t="shared" si="7"/>
        <v>Public tranfers, outflows, taxes on goods and services, tobacco products, state and local</v>
      </c>
    </row>
    <row r="96" spans="1:4" x14ac:dyDescent="0.35">
      <c r="A96">
        <v>95</v>
      </c>
      <c r="B96" s="4" t="str">
        <f t="shared" si="6"/>
        <v>TGFGX_S</v>
      </c>
      <c r="C96" s="4">
        <f>rg!G182</f>
        <v>4561.3451979672091</v>
      </c>
      <c r="D96" t="str">
        <f t="shared" si="7"/>
        <v>Public tranfers, outflows, taxes on goods and services, others not elsewhere classified, state and local</v>
      </c>
    </row>
    <row r="97" spans="1:4" x14ac:dyDescent="0.35">
      <c r="A97">
        <v>96</v>
      </c>
      <c r="B97" s="4" t="str">
        <f t="shared" si="6"/>
        <v>TGFKM_S</v>
      </c>
      <c r="C97" s="4">
        <f>rg!G186</f>
        <v>202.89969908200354</v>
      </c>
      <c r="D97" t="str">
        <f t="shared" si="7"/>
        <v>Public tranfers, outflows, taxes on property, mixed income, state and local</v>
      </c>
    </row>
    <row r="98" spans="1:4" x14ac:dyDescent="0.35">
      <c r="A98">
        <v>97</v>
      </c>
      <c r="B98" s="4" t="str">
        <f t="shared" si="6"/>
        <v>TGFKC_S</v>
      </c>
      <c r="C98" s="4">
        <f>rg!G187</f>
        <v>2823.6973319155031</v>
      </c>
      <c r="D98" t="str">
        <f t="shared" si="7"/>
        <v>Public tranfers, outflows, taxes on property, corporations, state and local</v>
      </c>
    </row>
    <row r="99" spans="1:4" x14ac:dyDescent="0.35">
      <c r="A99">
        <v>98</v>
      </c>
      <c r="B99" s="4" t="str">
        <f t="shared" si="6"/>
        <v>TGFKH_S</v>
      </c>
      <c r="C99" s="4">
        <f>rg!G189</f>
        <v>2862.645460732233</v>
      </c>
      <c r="D99" t="str">
        <f t="shared" si="7"/>
        <v>Public tranfers, outflows, taxes on income, profits and capital gains, households, state and local</v>
      </c>
    </row>
    <row r="100" spans="1:4" x14ac:dyDescent="0.35">
      <c r="A100">
        <v>99</v>
      </c>
      <c r="B100" s="4" t="str">
        <f t="shared" si="6"/>
        <v>TGFKB_S</v>
      </c>
      <c r="C100" s="4">
        <f>rg!G190</f>
        <v>177.47388340447401</v>
      </c>
      <c r="D100" t="str">
        <f t="shared" si="7"/>
        <v>Public tranfers, outflows, taxes on income, profits and capital gains, businesses, state and local</v>
      </c>
    </row>
    <row r="101" spans="1:4" x14ac:dyDescent="0.35">
      <c r="A101">
        <v>100</v>
      </c>
      <c r="B101" s="4" t="str">
        <f t="shared" si="6"/>
        <v>TGFPT_S</v>
      </c>
      <c r="C101" s="4">
        <f>rg!G192</f>
        <v>0</v>
      </c>
      <c r="D101" t="str">
        <f t="shared" si="7"/>
        <v>Public transfers, outflows, taxes on property, estate and trust , state and local</v>
      </c>
    </row>
    <row r="102" spans="1:4" x14ac:dyDescent="0.35">
      <c r="A102">
        <v>101</v>
      </c>
      <c r="B102" s="4" t="str">
        <f t="shared" si="6"/>
        <v>TGFPG_S</v>
      </c>
      <c r="C102" s="4">
        <f>rg!G193</f>
        <v>0</v>
      </c>
      <c r="D102" t="str">
        <f t="shared" si="7"/>
        <v>Public transfers, outflows, taxes on property, estate and gifts, state and local</v>
      </c>
    </row>
    <row r="103" spans="1:4" x14ac:dyDescent="0.35">
      <c r="A103">
        <v>102</v>
      </c>
      <c r="B103" s="4" t="str">
        <f t="shared" si="6"/>
        <v>TGFPR_S</v>
      </c>
      <c r="C103" s="107">
        <v>0</v>
      </c>
      <c r="D103" t="str">
        <f t="shared" si="7"/>
        <v>Public transfers, outflows, taxes on property, others, state and local</v>
      </c>
    </row>
    <row r="104" spans="1:4" x14ac:dyDescent="0.35">
      <c r="A104">
        <v>103</v>
      </c>
      <c r="B104" s="4" t="str">
        <f t="shared" si="6"/>
        <v>TGPFICA_S</v>
      </c>
      <c r="C104" s="4">
        <f>rg!G195</f>
        <v>0</v>
      </c>
      <c r="D104" t="str">
        <f t="shared" si="7"/>
        <v>Public transfers, outflows, social contributions, FICA, state and local</v>
      </c>
    </row>
    <row r="105" spans="1:4" x14ac:dyDescent="0.35">
      <c r="A105">
        <v>104</v>
      </c>
      <c r="B105" s="4" t="str">
        <f t="shared" si="6"/>
        <v>TGPSECA_S</v>
      </c>
      <c r="C105" s="4">
        <f>rg!G196</f>
        <v>0</v>
      </c>
      <c r="D105" t="str">
        <f t="shared" si="7"/>
        <v>Public transfers, outflows, social contributions, SECA , state and local</v>
      </c>
    </row>
    <row r="106" spans="1:4" x14ac:dyDescent="0.35">
      <c r="A106">
        <v>105</v>
      </c>
      <c r="B106" s="4" t="str">
        <f t="shared" si="6"/>
        <v>TGPUNEMP_S</v>
      </c>
      <c r="C106" s="4">
        <f>rg!G197</f>
        <v>238</v>
      </c>
      <c r="D106" t="str">
        <f t="shared" si="7"/>
        <v>Public transfers, outflows, social contributions, Unemployment insurance, state and local</v>
      </c>
    </row>
    <row r="107" spans="1:4" x14ac:dyDescent="0.35">
      <c r="A107">
        <v>106</v>
      </c>
      <c r="B107" s="4" t="str">
        <f t="shared" si="6"/>
        <v>TGD_S</v>
      </c>
      <c r="C107" s="4">
        <f>rg!G198</f>
        <v>-2562.9620848780341</v>
      </c>
      <c r="D107" t="str">
        <f>D79&amp;", state and local"</f>
        <v>Public transfers, deficit/surplus, state and local</v>
      </c>
    </row>
    <row r="108" spans="1:4" x14ac:dyDescent="0.35">
      <c r="A108">
        <v>107</v>
      </c>
      <c r="B108" s="4" t="s">
        <v>1040</v>
      </c>
      <c r="C108" s="4">
        <f>rg!E201</f>
        <v>0</v>
      </c>
      <c r="D108" t="s">
        <v>1047</v>
      </c>
    </row>
    <row r="109" spans="1:4" x14ac:dyDescent="0.35">
      <c r="A109">
        <v>108</v>
      </c>
      <c r="B109" s="4" t="s">
        <v>1041</v>
      </c>
      <c r="C109" s="4">
        <f>rg!E203</f>
        <v>692.90812252909643</v>
      </c>
      <c r="D109" t="s">
        <v>1048</v>
      </c>
    </row>
    <row r="110" spans="1:4" x14ac:dyDescent="0.35">
      <c r="A110">
        <v>109</v>
      </c>
      <c r="B110" s="4" t="s">
        <v>1042</v>
      </c>
      <c r="C110" s="4">
        <f>rg!E204</f>
        <v>3436.9331865212534</v>
      </c>
      <c r="D110" t="s">
        <v>1049</v>
      </c>
    </row>
    <row r="111" spans="1:4" x14ac:dyDescent="0.35">
      <c r="A111">
        <v>110</v>
      </c>
      <c r="B111" s="4" t="s">
        <v>1043</v>
      </c>
      <c r="C111" s="4">
        <f>rg!E205</f>
        <v>-1985.177624476853</v>
      </c>
      <c r="D111" t="s">
        <v>1050</v>
      </c>
    </row>
    <row r="112" spans="1:4" x14ac:dyDescent="0.35">
      <c r="A112">
        <v>111</v>
      </c>
      <c r="B112" s="4" t="s">
        <v>1045</v>
      </c>
      <c r="C112" s="4">
        <f>rg!E207</f>
        <v>1535.166655</v>
      </c>
      <c r="D112" t="s">
        <v>1066</v>
      </c>
    </row>
    <row r="113" spans="1:4" x14ac:dyDescent="0.35">
      <c r="A113">
        <v>112</v>
      </c>
      <c r="B113" s="4" t="s">
        <v>1044</v>
      </c>
      <c r="C113" s="4">
        <f>rg!E208</f>
        <v>1763.2057480000001</v>
      </c>
      <c r="D113" t="s">
        <v>1067</v>
      </c>
    </row>
    <row r="114" spans="1:4" x14ac:dyDescent="0.35">
      <c r="A114">
        <v>113</v>
      </c>
      <c r="B114" s="4" t="s">
        <v>1046</v>
      </c>
      <c r="C114" s="4">
        <f>rg!E209</f>
        <v>-1757.1385314768531</v>
      </c>
      <c r="D114" t="s">
        <v>1051</v>
      </c>
    </row>
    <row r="115" spans="1:4" x14ac:dyDescent="0.35">
      <c r="A115">
        <v>114</v>
      </c>
      <c r="B115" s="4" t="str">
        <f t="shared" ref="B115:B121" si="8">B108&amp;"_F"</f>
        <v>YKG_F</v>
      </c>
      <c r="C115" s="4">
        <f>rg!F201</f>
        <v>0</v>
      </c>
      <c r="D115" t="str">
        <f>D108&amp;", federal"</f>
        <v>Public asset-based reallocations, capital income, federal</v>
      </c>
    </row>
    <row r="116" spans="1:4" x14ac:dyDescent="0.35">
      <c r="A116">
        <v>115</v>
      </c>
      <c r="B116" s="4" t="str">
        <f t="shared" si="8"/>
        <v>YPGI_F</v>
      </c>
      <c r="C116" s="4">
        <f>rg!F203</f>
        <v>458.9085888302663</v>
      </c>
      <c r="D116" t="str">
        <f t="shared" ref="D116:D121" si="9">D109&amp;", federal"</f>
        <v>Public asset-based reallocations, property income, inflow, federal</v>
      </c>
    </row>
    <row r="117" spans="1:4" x14ac:dyDescent="0.35">
      <c r="A117">
        <v>116</v>
      </c>
      <c r="B117" s="4" t="str">
        <f t="shared" si="8"/>
        <v>YPGO_F</v>
      </c>
      <c r="C117" s="4">
        <f>rg!F204</f>
        <v>2900.884626536862</v>
      </c>
      <c r="D117" t="str">
        <f t="shared" si="9"/>
        <v>Public asset-based reallocations, property income, outflow, federal</v>
      </c>
    </row>
    <row r="118" spans="1:4" x14ac:dyDescent="0.35">
      <c r="A118">
        <v>117</v>
      </c>
      <c r="B118" s="4" t="str">
        <f t="shared" si="8"/>
        <v>SG_F</v>
      </c>
      <c r="C118" s="4">
        <f>rg!F205</f>
        <v>-4246.0906830693257</v>
      </c>
      <c r="D118" t="str">
        <f t="shared" si="9"/>
        <v>Public asset-based reallocations, saving, federal</v>
      </c>
    </row>
    <row r="119" spans="1:4" x14ac:dyDescent="0.35">
      <c r="A119">
        <v>118</v>
      </c>
      <c r="B119" s="4" t="str">
        <f t="shared" si="8"/>
        <v>SGERSO_F</v>
      </c>
      <c r="C119" s="4">
        <f>rg!F207</f>
        <v>0</v>
      </c>
      <c r="D119" t="str">
        <f t="shared" si="9"/>
        <v>Public asset-based reallocations, saving, ERS, outflow (contributions), federal</v>
      </c>
    </row>
    <row r="120" spans="1:4" x14ac:dyDescent="0.35">
      <c r="A120">
        <v>119</v>
      </c>
      <c r="B120" s="4" t="str">
        <f t="shared" si="8"/>
        <v>SGERSI_F</v>
      </c>
      <c r="C120" s="4">
        <f>rg!F208</f>
        <v>0</v>
      </c>
      <c r="D120" t="str">
        <f t="shared" si="9"/>
        <v>Public asset-based reallocations, saving, ERS, inflow (inflow), federal</v>
      </c>
    </row>
    <row r="121" spans="1:4" x14ac:dyDescent="0.35">
      <c r="A121">
        <v>120</v>
      </c>
      <c r="B121" s="4" t="str">
        <f t="shared" si="8"/>
        <v>SGNEC_F</v>
      </c>
      <c r="C121" s="4">
        <f>rg!F209</f>
        <v>-4246.0906830693257</v>
      </c>
      <c r="D121" t="str">
        <f t="shared" si="9"/>
        <v>Public asset-based reallocations, saving, others not elsewhere classified, federal</v>
      </c>
    </row>
    <row r="122" spans="1:4" x14ac:dyDescent="0.35">
      <c r="A122">
        <v>121</v>
      </c>
      <c r="B122" s="4" t="str">
        <f t="shared" ref="B122:B128" si="10">B108&amp;"_S"</f>
        <v>YKG_S</v>
      </c>
      <c r="C122" s="4">
        <f>rg!G201</f>
        <v>0</v>
      </c>
      <c r="D122" t="str">
        <f t="shared" ref="D122:D127" si="11">D108&amp;", state and local"</f>
        <v>Public asset-based reallocations, capital income, state and local</v>
      </c>
    </row>
    <row r="123" spans="1:4" x14ac:dyDescent="0.35">
      <c r="A123">
        <v>122</v>
      </c>
      <c r="B123" s="4" t="str">
        <f t="shared" si="10"/>
        <v>YPGI_S</v>
      </c>
      <c r="C123" s="4">
        <f>rg!G203</f>
        <v>233.99953369883011</v>
      </c>
      <c r="D123" t="str">
        <f t="shared" si="11"/>
        <v>Public asset-based reallocations, property income, inflow, state and local</v>
      </c>
    </row>
    <row r="124" spans="1:4" x14ac:dyDescent="0.35">
      <c r="A124">
        <v>123</v>
      </c>
      <c r="B124" s="4" t="str">
        <f t="shared" si="10"/>
        <v>YPGO_S</v>
      </c>
      <c r="C124" s="4">
        <f>rg!G204</f>
        <v>536.04855998439143</v>
      </c>
      <c r="D124" t="str">
        <f t="shared" si="11"/>
        <v>Public asset-based reallocations, property income, outflow, state and local</v>
      </c>
    </row>
    <row r="125" spans="1:4" x14ac:dyDescent="0.35">
      <c r="A125">
        <v>124</v>
      </c>
      <c r="B125" s="4" t="str">
        <f t="shared" si="10"/>
        <v>SG_S</v>
      </c>
      <c r="C125" s="4">
        <f>rg!G205</f>
        <v>2260.9130585924727</v>
      </c>
      <c r="D125" t="str">
        <f t="shared" si="11"/>
        <v>Public asset-based reallocations, saving, state and local</v>
      </c>
    </row>
    <row r="126" spans="1:4" x14ac:dyDescent="0.35">
      <c r="A126">
        <v>125</v>
      </c>
      <c r="B126" s="4" t="str">
        <f t="shared" si="10"/>
        <v>SGERSO_S</v>
      </c>
      <c r="C126" s="4">
        <f>rg!G207</f>
        <v>1535.166655</v>
      </c>
      <c r="D126" t="str">
        <f t="shared" si="11"/>
        <v>Public asset-based reallocations, saving, ERS, outflow (contributions), state and local</v>
      </c>
    </row>
    <row r="127" spans="1:4" x14ac:dyDescent="0.35">
      <c r="A127">
        <v>126</v>
      </c>
      <c r="B127" s="4" t="str">
        <f t="shared" si="10"/>
        <v>SGERSI_S</v>
      </c>
      <c r="C127" s="4">
        <f>rg!G208</f>
        <v>1763.2057480000001</v>
      </c>
      <c r="D127" t="str">
        <f t="shared" si="11"/>
        <v>Public asset-based reallocations, saving, ERS, inflow (inflow), state and local</v>
      </c>
    </row>
    <row r="128" spans="1:4" x14ac:dyDescent="0.35">
      <c r="A128">
        <v>127</v>
      </c>
      <c r="B128" s="4" t="str">
        <f t="shared" si="10"/>
        <v>SGNEC_S</v>
      </c>
      <c r="C128" s="4">
        <f>rg!G209</f>
        <v>2488.9521515924725</v>
      </c>
      <c r="D128" t="str">
        <f>D114&amp;", state and local"</f>
        <v>Public asset-based reallocations, saving, others not elsewhere classified, state and local</v>
      </c>
    </row>
    <row r="129" spans="1:4" x14ac:dyDescent="0.35">
      <c r="A129">
        <v>128</v>
      </c>
      <c r="B129" s="2" t="s">
        <v>1052</v>
      </c>
      <c r="C129" s="4">
        <f>rf!E45</f>
        <v>423.70600000000002</v>
      </c>
      <c r="D129" t="s">
        <v>571</v>
      </c>
    </row>
    <row r="130" spans="1:4" x14ac:dyDescent="0.35">
      <c r="A130">
        <v>129</v>
      </c>
      <c r="B130" s="2" t="s">
        <v>1053</v>
      </c>
      <c r="C130" s="4">
        <f>rf!E46</f>
        <v>1221.4824925305268</v>
      </c>
      <c r="D130" t="s">
        <v>576</v>
      </c>
    </row>
    <row r="131" spans="1:4" x14ac:dyDescent="0.35">
      <c r="A131">
        <v>130</v>
      </c>
      <c r="B131" s="2" t="s">
        <v>1054</v>
      </c>
      <c r="C131" s="4">
        <f>rf!E50</f>
        <v>1190.2616161393721</v>
      </c>
      <c r="D131" t="s">
        <v>1060</v>
      </c>
    </row>
    <row r="132" spans="1:4" x14ac:dyDescent="0.35">
      <c r="A132">
        <v>131</v>
      </c>
      <c r="B132" s="2" t="s">
        <v>1055</v>
      </c>
      <c r="C132" s="4">
        <f>rf!E51</f>
        <v>4859.8775132116216</v>
      </c>
      <c r="D132" t="s">
        <v>1061</v>
      </c>
    </row>
    <row r="133" spans="1:4" x14ac:dyDescent="0.35">
      <c r="A133">
        <v>132</v>
      </c>
      <c r="B133" s="2" t="s">
        <v>1056</v>
      </c>
      <c r="C133" s="4">
        <f>rf!E52</f>
        <v>11704.65444509271</v>
      </c>
      <c r="D133" t="s">
        <v>1062</v>
      </c>
    </row>
    <row r="134" spans="1:4" x14ac:dyDescent="0.35">
      <c r="A134">
        <v>133</v>
      </c>
      <c r="B134" s="2" t="s">
        <v>1057</v>
      </c>
      <c r="C134" s="4">
        <f>rf!E54</f>
        <v>34584.720226918827</v>
      </c>
      <c r="D134" t="s">
        <v>1063</v>
      </c>
    </row>
    <row r="135" spans="1:4" x14ac:dyDescent="0.35">
      <c r="A135">
        <v>134</v>
      </c>
      <c r="B135" s="2" t="s">
        <v>1058</v>
      </c>
      <c r="C135" s="4">
        <f>rf!E55</f>
        <v>29612.096527570178</v>
      </c>
      <c r="D135" t="s">
        <v>1064</v>
      </c>
    </row>
    <row r="136" spans="1:4" x14ac:dyDescent="0.35">
      <c r="A136">
        <v>135</v>
      </c>
      <c r="B136" s="2" t="s">
        <v>1059</v>
      </c>
      <c r="C136" s="4">
        <f>rf!E56</f>
        <v>12282.318765787259</v>
      </c>
      <c r="D136" t="s">
        <v>1065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F9F1C-0694-4598-906E-240B04BB5E4D}">
  <dimension ref="B2:AD32"/>
  <sheetViews>
    <sheetView workbookViewId="0">
      <pane xSplit="2" ySplit="5" topLeftCell="S6" activePane="bottomRight" state="frozen"/>
      <selection pane="topRight" activeCell="C1" sqref="C1"/>
      <selection pane="bottomLeft" activeCell="A6" sqref="A6"/>
      <selection pane="bottomRight" activeCell="AD7" sqref="AD7"/>
    </sheetView>
  </sheetViews>
  <sheetFormatPr defaultColWidth="8.7265625" defaultRowHeight="14.5" x14ac:dyDescent="0.35"/>
  <cols>
    <col min="1" max="1" width="8.7265625" style="2"/>
    <col min="2" max="2" width="61.26953125" style="2" customWidth="1"/>
    <col min="3" max="24" width="8.7265625" style="2"/>
    <col min="25" max="28" width="10.26953125" style="2" bestFit="1" customWidth="1"/>
    <col min="29" max="16384" width="8.7265625" style="2"/>
  </cols>
  <sheetData>
    <row r="2" spans="2:30" x14ac:dyDescent="0.35">
      <c r="B2" s="1" t="s">
        <v>2</v>
      </c>
    </row>
    <row r="3" spans="2:30" x14ac:dyDescent="0.35">
      <c r="B3" s="3" t="s">
        <v>3</v>
      </c>
    </row>
    <row r="4" spans="2:30" x14ac:dyDescent="0.35">
      <c r="AB4" s="4"/>
    </row>
    <row r="5" spans="2:30" x14ac:dyDescent="0.35">
      <c r="B5" s="5"/>
      <c r="C5" s="5">
        <v>1997</v>
      </c>
      <c r="D5" s="5">
        <v>1998</v>
      </c>
      <c r="E5" s="5">
        <v>1999</v>
      </c>
      <c r="F5" s="5">
        <v>2000</v>
      </c>
      <c r="G5" s="5">
        <v>2001</v>
      </c>
      <c r="H5" s="5">
        <v>2002</v>
      </c>
      <c r="I5" s="5">
        <v>2003</v>
      </c>
      <c r="J5" s="5">
        <v>2004</v>
      </c>
      <c r="K5" s="5">
        <v>2005</v>
      </c>
      <c r="L5" s="5">
        <v>2006</v>
      </c>
      <c r="M5" s="5">
        <v>2007</v>
      </c>
      <c r="N5" s="5">
        <v>2008</v>
      </c>
      <c r="O5" s="5">
        <v>2009</v>
      </c>
      <c r="P5" s="5">
        <v>2010</v>
      </c>
      <c r="Q5" s="5">
        <v>2011</v>
      </c>
      <c r="R5" s="5">
        <v>2012</v>
      </c>
      <c r="S5" s="5">
        <v>2013</v>
      </c>
      <c r="T5" s="5">
        <v>2014</v>
      </c>
      <c r="U5" s="5">
        <v>2015</v>
      </c>
      <c r="V5" s="5">
        <v>2016</v>
      </c>
      <c r="W5" s="5">
        <v>2017</v>
      </c>
      <c r="X5" s="5">
        <v>2018</v>
      </c>
      <c r="Y5" s="5">
        <v>2019</v>
      </c>
      <c r="Z5" s="5">
        <v>2020</v>
      </c>
      <c r="AA5" s="5">
        <v>2021</v>
      </c>
      <c r="AB5" s="5">
        <v>2022</v>
      </c>
    </row>
    <row r="6" spans="2:30" x14ac:dyDescent="0.35">
      <c r="B6" s="2" t="s">
        <v>4</v>
      </c>
      <c r="C6" s="4">
        <v>31735.8</v>
      </c>
      <c r="D6" s="4">
        <v>32355.7</v>
      </c>
      <c r="E6" s="4">
        <v>33425.599999999999</v>
      </c>
      <c r="F6" s="4">
        <v>35403.1</v>
      </c>
      <c r="G6" s="4">
        <v>36996.800000000003</v>
      </c>
      <c r="H6" s="4">
        <v>38865.599999999999</v>
      </c>
      <c r="I6" s="4">
        <v>40734.199999999997</v>
      </c>
      <c r="J6" s="4">
        <v>43729.2</v>
      </c>
      <c r="K6" s="4">
        <v>46898.1</v>
      </c>
      <c r="L6" s="4">
        <v>50182.6</v>
      </c>
      <c r="M6" s="4">
        <v>53022.5</v>
      </c>
      <c r="N6" s="4">
        <v>55802.6</v>
      </c>
      <c r="O6" s="4">
        <v>55409</v>
      </c>
      <c r="P6" s="4">
        <v>56649.4</v>
      </c>
      <c r="Q6" s="4">
        <v>59226.400000000001</v>
      </c>
      <c r="R6" s="4">
        <v>61161.599999999999</v>
      </c>
      <c r="S6" s="4">
        <v>61983.4</v>
      </c>
      <c r="T6" s="4">
        <v>65182.2</v>
      </c>
      <c r="U6" s="4">
        <v>68200.800000000003</v>
      </c>
      <c r="V6" s="4">
        <v>70744.800000000003</v>
      </c>
      <c r="W6" s="4">
        <v>73646.399999999994</v>
      </c>
      <c r="X6" s="4">
        <v>75266.399999999994</v>
      </c>
      <c r="Y6" s="4">
        <v>78551.8</v>
      </c>
      <c r="Z6" s="4">
        <v>82761.3</v>
      </c>
      <c r="AA6" s="4">
        <v>88948</v>
      </c>
      <c r="AB6" s="4">
        <v>88973.3</v>
      </c>
    </row>
    <row r="7" spans="2:30" x14ac:dyDescent="0.35">
      <c r="B7" s="2" t="s">
        <v>5</v>
      </c>
      <c r="C7" s="4">
        <v>21258.9</v>
      </c>
      <c r="D7" s="4">
        <v>21719.599999999999</v>
      </c>
      <c r="E7" s="4">
        <v>22399.7</v>
      </c>
      <c r="F7" s="4">
        <v>23647.3</v>
      </c>
      <c r="G7" s="4">
        <v>24634.199999999997</v>
      </c>
      <c r="H7" s="4">
        <v>26161.9</v>
      </c>
      <c r="I7" s="4">
        <v>27935.599999999999</v>
      </c>
      <c r="J7" s="4">
        <v>29974.7</v>
      </c>
      <c r="K7" s="4">
        <v>32016.9</v>
      </c>
      <c r="L7" s="4">
        <v>33865.4</v>
      </c>
      <c r="M7" s="4">
        <v>35757</v>
      </c>
      <c r="N7" s="4">
        <v>36816.699999999997</v>
      </c>
      <c r="O7" s="4">
        <v>36023.599999999999</v>
      </c>
      <c r="P7" s="4">
        <v>36561.9</v>
      </c>
      <c r="Q7" s="4">
        <v>38166.300000000003</v>
      </c>
      <c r="R7" s="4">
        <v>39540</v>
      </c>
      <c r="S7" s="4">
        <v>40821.300000000003</v>
      </c>
      <c r="T7" s="4">
        <v>42495.4</v>
      </c>
      <c r="U7" s="4">
        <v>44516.7</v>
      </c>
      <c r="V7" s="4">
        <v>46098.3</v>
      </c>
      <c r="W7" s="4">
        <v>47710.600000000006</v>
      </c>
      <c r="X7" s="4">
        <v>49080.2</v>
      </c>
      <c r="Y7" s="4">
        <v>50422.1</v>
      </c>
      <c r="Z7" s="4">
        <v>47851.5</v>
      </c>
      <c r="AA7" s="4">
        <v>51355.600000000006</v>
      </c>
      <c r="AB7" s="4">
        <v>55031.399999999994</v>
      </c>
      <c r="AD7" s="4"/>
    </row>
    <row r="8" spans="2:30" x14ac:dyDescent="0.35">
      <c r="B8" s="6" t="s">
        <v>6</v>
      </c>
      <c r="C8" s="4">
        <v>17215.900000000001</v>
      </c>
      <c r="D8" s="4">
        <v>17621</v>
      </c>
      <c r="E8" s="4">
        <v>18185.400000000001</v>
      </c>
      <c r="F8" s="4">
        <v>19173</v>
      </c>
      <c r="G8" s="4">
        <v>19831.099999999999</v>
      </c>
      <c r="H8" s="4">
        <v>20867.5</v>
      </c>
      <c r="I8" s="4">
        <v>22005.599999999999</v>
      </c>
      <c r="J8" s="4">
        <v>23664.9</v>
      </c>
      <c r="K8" s="4">
        <v>25185.8</v>
      </c>
      <c r="L8" s="4">
        <v>26870.6</v>
      </c>
      <c r="M8" s="4">
        <v>28394.2</v>
      </c>
      <c r="N8" s="4">
        <v>29195.8</v>
      </c>
      <c r="O8" s="4">
        <v>28516.5</v>
      </c>
      <c r="P8" s="4">
        <v>28599.4</v>
      </c>
      <c r="Q8" s="4">
        <v>29451.3</v>
      </c>
      <c r="R8" s="4">
        <v>30667.3</v>
      </c>
      <c r="S8" s="4">
        <v>31514.2</v>
      </c>
      <c r="T8" s="4">
        <v>32830.800000000003</v>
      </c>
      <c r="U8" s="4">
        <v>34592.400000000001</v>
      </c>
      <c r="V8" s="4">
        <v>35912.6</v>
      </c>
      <c r="W8" s="4">
        <v>37253.800000000003</v>
      </c>
      <c r="X8" s="4">
        <v>38109.1</v>
      </c>
      <c r="Y8" s="4">
        <v>39274.5</v>
      </c>
      <c r="Z8" s="4">
        <v>36709.599999999999</v>
      </c>
      <c r="AA8" s="4">
        <v>39663.9</v>
      </c>
      <c r="AB8" s="7">
        <v>42951.199999999997</v>
      </c>
    </row>
    <row r="9" spans="2:30" x14ac:dyDescent="0.35">
      <c r="B9" s="6" t="s">
        <v>7</v>
      </c>
      <c r="C9" s="4">
        <v>4043</v>
      </c>
      <c r="D9" s="4">
        <v>4098.6000000000004</v>
      </c>
      <c r="E9" s="4">
        <v>4214.3</v>
      </c>
      <c r="F9" s="4">
        <v>4474.3</v>
      </c>
      <c r="G9" s="4">
        <v>4803.1000000000004</v>
      </c>
      <c r="H9" s="4">
        <v>5294.4</v>
      </c>
      <c r="I9" s="4">
        <v>5930</v>
      </c>
      <c r="J9" s="4">
        <v>6309.8</v>
      </c>
      <c r="K9" s="4">
        <v>6831.1</v>
      </c>
      <c r="L9" s="4">
        <v>6994.8</v>
      </c>
      <c r="M9" s="4">
        <v>7362.8</v>
      </c>
      <c r="N9" s="4">
        <v>7620.9</v>
      </c>
      <c r="O9" s="4">
        <v>7507.1</v>
      </c>
      <c r="P9" s="4">
        <v>7962.5</v>
      </c>
      <c r="Q9" s="4">
        <v>8715</v>
      </c>
      <c r="R9" s="4">
        <v>8872.7000000000007</v>
      </c>
      <c r="S9" s="4">
        <v>9307.1</v>
      </c>
      <c r="T9" s="4">
        <v>9664.6</v>
      </c>
      <c r="U9" s="4">
        <v>9924.2999999999993</v>
      </c>
      <c r="V9" s="4">
        <v>10185.700000000001</v>
      </c>
      <c r="W9" s="4">
        <v>10456.799999999999</v>
      </c>
      <c r="X9" s="4">
        <v>10971.1</v>
      </c>
      <c r="Y9" s="4">
        <v>11147.6</v>
      </c>
      <c r="Z9" s="4">
        <v>11141.9</v>
      </c>
      <c r="AA9" s="4">
        <v>11691.7</v>
      </c>
      <c r="AB9" s="7">
        <v>12080.2</v>
      </c>
    </row>
    <row r="10" spans="2:30" x14ac:dyDescent="0.35">
      <c r="B10" s="8" t="s">
        <v>8</v>
      </c>
      <c r="C10" s="4">
        <v>2717.5</v>
      </c>
      <c r="D10" s="4">
        <v>2771.2</v>
      </c>
      <c r="E10" s="4">
        <v>2861</v>
      </c>
      <c r="F10" s="4">
        <v>3043.9</v>
      </c>
      <c r="G10" s="4">
        <v>3296.9</v>
      </c>
      <c r="H10" s="4">
        <v>3682.4</v>
      </c>
      <c r="I10" s="4">
        <v>4164.8999999999996</v>
      </c>
      <c r="J10" s="4">
        <v>4494.2</v>
      </c>
      <c r="K10" s="4">
        <v>4885.1000000000004</v>
      </c>
      <c r="L10" s="4">
        <v>4892.5</v>
      </c>
      <c r="M10" s="4">
        <v>5200.2</v>
      </c>
      <c r="N10" s="4">
        <v>5442.9</v>
      </c>
      <c r="O10" s="4">
        <v>5346.7</v>
      </c>
      <c r="P10" s="4">
        <v>5593.4</v>
      </c>
      <c r="Q10" s="4">
        <v>6152.1</v>
      </c>
      <c r="R10" s="4">
        <v>6206.2</v>
      </c>
      <c r="S10" s="4">
        <v>6491.1</v>
      </c>
      <c r="T10" s="4">
        <v>6946.8</v>
      </c>
      <c r="U10" s="4">
        <v>7118.4</v>
      </c>
      <c r="V10" s="4">
        <v>7376.3</v>
      </c>
      <c r="W10" s="4">
        <v>7538.6</v>
      </c>
      <c r="X10" s="4">
        <v>7978.5</v>
      </c>
      <c r="Y10" s="4">
        <v>8071.2</v>
      </c>
      <c r="Z10" s="4">
        <v>8199.6</v>
      </c>
      <c r="AA10" s="4">
        <v>8561.9</v>
      </c>
      <c r="AB10" s="7">
        <v>8682.9</v>
      </c>
    </row>
    <row r="11" spans="2:30" x14ac:dyDescent="0.35">
      <c r="B11" s="8" t="s">
        <v>9</v>
      </c>
      <c r="C11" s="4">
        <v>1325.5</v>
      </c>
      <c r="D11" s="4">
        <v>1327.4</v>
      </c>
      <c r="E11" s="4">
        <v>1353.3</v>
      </c>
      <c r="F11" s="4">
        <v>1430.4</v>
      </c>
      <c r="G11" s="4">
        <v>1506.2</v>
      </c>
      <c r="H11" s="4">
        <v>1612</v>
      </c>
      <c r="I11" s="4">
        <v>1765.1</v>
      </c>
      <c r="J11" s="4">
        <v>1815.6</v>
      </c>
      <c r="K11" s="4">
        <v>1946</v>
      </c>
      <c r="L11" s="4">
        <v>2102.4</v>
      </c>
      <c r="M11" s="4">
        <v>2162.6</v>
      </c>
      <c r="N11" s="4">
        <v>2178</v>
      </c>
      <c r="O11" s="4">
        <v>2160.4</v>
      </c>
      <c r="P11" s="4">
        <v>2369.1</v>
      </c>
      <c r="Q11" s="4">
        <v>2562.8000000000002</v>
      </c>
      <c r="R11" s="4">
        <v>2666.5</v>
      </c>
      <c r="S11" s="4">
        <v>2816</v>
      </c>
      <c r="T11" s="4">
        <v>2717.8</v>
      </c>
      <c r="U11" s="4">
        <v>2805.9</v>
      </c>
      <c r="V11" s="4">
        <v>2809.4</v>
      </c>
      <c r="W11" s="4">
        <v>2918.2</v>
      </c>
      <c r="X11" s="4">
        <v>2992.6</v>
      </c>
      <c r="Y11" s="4">
        <v>3076.4</v>
      </c>
      <c r="Z11" s="4">
        <v>2942.4</v>
      </c>
      <c r="AA11" s="4">
        <v>3129.8</v>
      </c>
      <c r="AB11" s="7">
        <v>3397.3</v>
      </c>
    </row>
    <row r="12" spans="2:30" x14ac:dyDescent="0.35">
      <c r="B12" s="2" t="s">
        <v>10</v>
      </c>
      <c r="C12" s="4">
        <v>2483.1999999999998</v>
      </c>
      <c r="D12" s="4">
        <v>2399.1</v>
      </c>
      <c r="E12" s="4">
        <v>2676.2</v>
      </c>
      <c r="F12" s="4">
        <v>2945.3</v>
      </c>
      <c r="G12" s="4">
        <v>3429</v>
      </c>
      <c r="H12" s="4">
        <v>3675.1</v>
      </c>
      <c r="I12" s="4">
        <v>3825</v>
      </c>
      <c r="J12" s="4">
        <v>4073.8</v>
      </c>
      <c r="K12" s="4">
        <v>4505.8</v>
      </c>
      <c r="L12" s="4">
        <v>4724.8</v>
      </c>
      <c r="M12" s="4">
        <v>4143.6000000000004</v>
      </c>
      <c r="N12" s="4">
        <v>3864.6</v>
      </c>
      <c r="O12" s="4">
        <v>4167.3999999999996</v>
      </c>
      <c r="P12" s="4">
        <v>4400.3999999999996</v>
      </c>
      <c r="Q12" s="4">
        <v>4300.7</v>
      </c>
      <c r="R12" s="4">
        <v>4730.7</v>
      </c>
      <c r="S12" s="4">
        <v>4788.6000000000004</v>
      </c>
      <c r="T12" s="4">
        <v>4825.1000000000004</v>
      </c>
      <c r="U12" s="4">
        <v>5175.3</v>
      </c>
      <c r="V12" s="4">
        <v>5156.8</v>
      </c>
      <c r="W12" s="4">
        <v>5683.5</v>
      </c>
      <c r="X12" s="4">
        <v>5960</v>
      </c>
      <c r="Y12" s="4">
        <v>6511.3</v>
      </c>
      <c r="Z12" s="4">
        <v>5857.7</v>
      </c>
      <c r="AA12" s="4">
        <v>7052.2</v>
      </c>
      <c r="AB12" s="7">
        <v>6521</v>
      </c>
    </row>
    <row r="13" spans="2:30" x14ac:dyDescent="0.35">
      <c r="B13" s="2" t="s">
        <v>11</v>
      </c>
      <c r="C13" s="4">
        <v>6930.1</v>
      </c>
      <c r="D13" s="4">
        <v>7141.7</v>
      </c>
      <c r="E13" s="4">
        <v>7167.2</v>
      </c>
      <c r="F13" s="4">
        <v>7569.2</v>
      </c>
      <c r="G13" s="4">
        <v>7531.1</v>
      </c>
      <c r="H13" s="4">
        <v>7470</v>
      </c>
      <c r="I13" s="4">
        <v>7506.1</v>
      </c>
      <c r="J13" s="4">
        <v>8060.9</v>
      </c>
      <c r="K13" s="4">
        <v>8587.9</v>
      </c>
      <c r="L13" s="4">
        <v>9812.6</v>
      </c>
      <c r="M13" s="4">
        <v>10946.6</v>
      </c>
      <c r="N13" s="4">
        <v>11943</v>
      </c>
      <c r="O13" s="4">
        <v>11416.5</v>
      </c>
      <c r="P13" s="4">
        <v>11124.8</v>
      </c>
      <c r="Q13" s="4">
        <v>11601</v>
      </c>
      <c r="R13" s="4">
        <v>12027.7</v>
      </c>
      <c r="S13" s="4">
        <v>11943.2</v>
      </c>
      <c r="T13" s="4">
        <v>12699.6</v>
      </c>
      <c r="U13" s="4">
        <v>13176.9</v>
      </c>
      <c r="V13" s="4">
        <v>13697.6</v>
      </c>
      <c r="W13" s="4">
        <v>14362.6</v>
      </c>
      <c r="X13" s="4">
        <v>14348.8</v>
      </c>
      <c r="Y13" s="4">
        <v>15415</v>
      </c>
      <c r="Z13" s="4">
        <v>15834.2</v>
      </c>
      <c r="AA13" s="4">
        <v>16782.3</v>
      </c>
      <c r="AB13" s="7">
        <v>17796.900000000001</v>
      </c>
    </row>
    <row r="14" spans="2:30" x14ac:dyDescent="0.35">
      <c r="B14" s="6" t="s">
        <v>12</v>
      </c>
      <c r="C14" s="4">
        <v>1214.0999999999999</v>
      </c>
      <c r="D14" s="4">
        <v>1159.8</v>
      </c>
      <c r="E14" s="4">
        <v>1183.3</v>
      </c>
      <c r="F14" s="4">
        <v>1380.1</v>
      </c>
      <c r="G14" s="4">
        <v>1311.3</v>
      </c>
      <c r="H14" s="4">
        <v>1431.9</v>
      </c>
      <c r="I14" s="4">
        <v>1390.4</v>
      </c>
      <c r="J14" s="4">
        <v>1990.5</v>
      </c>
      <c r="K14" s="4">
        <v>2049.6999999999998</v>
      </c>
      <c r="L14" s="4">
        <v>2687.8</v>
      </c>
      <c r="M14" s="4">
        <v>3150.2</v>
      </c>
      <c r="N14" s="4">
        <v>3355.5</v>
      </c>
      <c r="O14" s="4">
        <v>2324.1999999999998</v>
      </c>
      <c r="P14" s="4">
        <v>2050.1999999999998</v>
      </c>
      <c r="Q14" s="4">
        <v>2333.8000000000002</v>
      </c>
      <c r="R14" s="4">
        <v>2712.4</v>
      </c>
      <c r="S14" s="4">
        <v>2635.7</v>
      </c>
      <c r="T14" s="4">
        <v>3001.1</v>
      </c>
      <c r="U14" s="4">
        <v>3107.1</v>
      </c>
      <c r="V14" s="4">
        <v>3170.6</v>
      </c>
      <c r="W14" s="4">
        <v>3520.3</v>
      </c>
      <c r="X14" s="4">
        <v>3542.3</v>
      </c>
      <c r="Y14" s="4">
        <v>4135.7</v>
      </c>
      <c r="Z14" s="4">
        <v>4459.1000000000004</v>
      </c>
      <c r="AA14" s="4">
        <v>5202.1000000000004</v>
      </c>
      <c r="AB14" s="7">
        <v>5039.7</v>
      </c>
    </row>
    <row r="15" spans="2:30" x14ac:dyDescent="0.35">
      <c r="B15" s="6" t="s">
        <v>13</v>
      </c>
      <c r="C15" s="4">
        <v>4841</v>
      </c>
      <c r="D15" s="4">
        <v>5010.1000000000004</v>
      </c>
      <c r="E15" s="4">
        <v>5021.8999999999996</v>
      </c>
      <c r="F15" s="4">
        <v>5262.2</v>
      </c>
      <c r="G15" s="4">
        <v>5265</v>
      </c>
      <c r="H15" s="4">
        <v>5082.8</v>
      </c>
      <c r="I15" s="4">
        <v>5106.3</v>
      </c>
      <c r="J15" s="4">
        <v>4980.3999999999996</v>
      </c>
      <c r="K15" s="4">
        <v>5559.4</v>
      </c>
      <c r="L15" s="4">
        <v>6333.9</v>
      </c>
      <c r="M15" s="4">
        <v>6987.4</v>
      </c>
      <c r="N15" s="4">
        <v>7234.8</v>
      </c>
      <c r="O15" s="4">
        <v>7407.8</v>
      </c>
      <c r="P15" s="4">
        <v>6917.5</v>
      </c>
      <c r="Q15" s="4">
        <v>6821.8</v>
      </c>
      <c r="R15" s="4">
        <v>6766.1</v>
      </c>
      <c r="S15" s="4">
        <v>6349.1</v>
      </c>
      <c r="T15" s="4">
        <v>6691.8</v>
      </c>
      <c r="U15" s="4">
        <v>6929.4</v>
      </c>
      <c r="V15" s="4">
        <v>7254.6</v>
      </c>
      <c r="W15" s="4">
        <v>7435</v>
      </c>
      <c r="X15" s="4">
        <v>7407.8</v>
      </c>
      <c r="Y15" s="4">
        <v>7582.3</v>
      </c>
      <c r="Z15" s="4">
        <v>7362</v>
      </c>
      <c r="AA15" s="4">
        <v>7351.9</v>
      </c>
      <c r="AB15" s="7">
        <v>8186.2</v>
      </c>
    </row>
    <row r="16" spans="2:30" x14ac:dyDescent="0.35">
      <c r="B16" s="8" t="s">
        <v>14</v>
      </c>
      <c r="C16" s="4">
        <v>3345.3</v>
      </c>
      <c r="D16" s="4">
        <v>3293.8</v>
      </c>
      <c r="E16" s="4">
        <v>3341.8</v>
      </c>
      <c r="F16" s="4">
        <v>3423.3</v>
      </c>
      <c r="G16" s="4">
        <v>3390</v>
      </c>
      <c r="H16" s="4">
        <v>3636.4</v>
      </c>
      <c r="I16" s="4">
        <v>3798</v>
      </c>
      <c r="J16" s="4">
        <v>3883.7</v>
      </c>
      <c r="K16" s="4">
        <v>4086.6</v>
      </c>
      <c r="L16" s="4">
        <v>4399.6000000000004</v>
      </c>
      <c r="M16" s="4">
        <v>4672.8999999999996</v>
      </c>
      <c r="N16" s="4">
        <v>4988.2</v>
      </c>
      <c r="O16" s="4">
        <v>5116.5</v>
      </c>
      <c r="P16" s="4">
        <v>5086.3999999999996</v>
      </c>
      <c r="Q16" s="4">
        <v>5178.5</v>
      </c>
      <c r="R16" s="4">
        <v>5189.2</v>
      </c>
      <c r="S16" s="4">
        <v>4929.6000000000004</v>
      </c>
      <c r="T16" s="4">
        <v>5156.7</v>
      </c>
      <c r="U16" s="4">
        <v>5329.2</v>
      </c>
      <c r="V16" s="4">
        <v>5364.9</v>
      </c>
      <c r="W16" s="4">
        <v>5451.5</v>
      </c>
      <c r="X16" s="4">
        <v>5452.2</v>
      </c>
      <c r="Y16" s="4">
        <v>5406.6</v>
      </c>
      <c r="Z16" s="4">
        <v>5060.3999999999996</v>
      </c>
      <c r="AA16" s="4">
        <v>4976.6000000000004</v>
      </c>
      <c r="AB16" s="7">
        <v>5530.2</v>
      </c>
    </row>
    <row r="17" spans="2:28" x14ac:dyDescent="0.35">
      <c r="B17" s="8" t="s">
        <v>15</v>
      </c>
      <c r="C17" s="4">
        <v>1495.7</v>
      </c>
      <c r="D17" s="4">
        <v>1716.3</v>
      </c>
      <c r="E17" s="4">
        <v>1680.1</v>
      </c>
      <c r="F17" s="4">
        <v>1839</v>
      </c>
      <c r="G17" s="4">
        <v>1875</v>
      </c>
      <c r="H17" s="4">
        <v>1446.4</v>
      </c>
      <c r="I17" s="4">
        <v>1308.3</v>
      </c>
      <c r="J17" s="4">
        <v>1096.7</v>
      </c>
      <c r="K17" s="4">
        <v>1472.9</v>
      </c>
      <c r="L17" s="4">
        <v>1934.3</v>
      </c>
      <c r="M17" s="4">
        <v>2314.5</v>
      </c>
      <c r="N17" s="4">
        <v>2246.6</v>
      </c>
      <c r="O17" s="4">
        <v>2291.3000000000002</v>
      </c>
      <c r="P17" s="4">
        <v>1831.1</v>
      </c>
      <c r="Q17" s="4">
        <v>1643.2</v>
      </c>
      <c r="R17" s="4">
        <v>1577</v>
      </c>
      <c r="S17" s="4">
        <v>1419.5</v>
      </c>
      <c r="T17" s="4">
        <v>1535.1</v>
      </c>
      <c r="U17" s="4">
        <v>1600.2</v>
      </c>
      <c r="V17" s="4">
        <v>1889.7</v>
      </c>
      <c r="W17" s="4">
        <v>1983.4</v>
      </c>
      <c r="X17" s="4">
        <v>1955.6</v>
      </c>
      <c r="Y17" s="4">
        <v>2175.6999999999998</v>
      </c>
      <c r="Z17" s="4">
        <v>2301.5</v>
      </c>
      <c r="AA17" s="4">
        <v>2375.1999999999998</v>
      </c>
      <c r="AB17" s="7">
        <v>2656</v>
      </c>
    </row>
    <row r="18" spans="2:28" x14ac:dyDescent="0.35">
      <c r="B18" s="6" t="s">
        <v>16</v>
      </c>
      <c r="C18" s="4">
        <v>875</v>
      </c>
      <c r="D18" s="4">
        <v>971.8</v>
      </c>
      <c r="E18" s="4">
        <v>962</v>
      </c>
      <c r="F18" s="4">
        <v>926.8</v>
      </c>
      <c r="G18" s="4">
        <v>954.9</v>
      </c>
      <c r="H18" s="4">
        <v>955.3</v>
      </c>
      <c r="I18" s="4">
        <v>1009.3</v>
      </c>
      <c r="J18" s="4">
        <v>1090</v>
      </c>
      <c r="K18" s="4">
        <v>978.7</v>
      </c>
      <c r="L18" s="4">
        <v>791</v>
      </c>
      <c r="M18" s="4">
        <v>809</v>
      </c>
      <c r="N18" s="4">
        <v>1352.7</v>
      </c>
      <c r="O18" s="4">
        <v>1684.5</v>
      </c>
      <c r="P18" s="4">
        <v>2157.1</v>
      </c>
      <c r="Q18" s="4">
        <v>2445.5</v>
      </c>
      <c r="R18" s="4">
        <v>2549.1999999999998</v>
      </c>
      <c r="S18" s="4">
        <v>2958.4</v>
      </c>
      <c r="T18" s="4">
        <v>3006.7</v>
      </c>
      <c r="U18" s="4">
        <v>3140.4</v>
      </c>
      <c r="V18" s="4">
        <v>3272.4</v>
      </c>
      <c r="W18" s="4">
        <v>3407.3</v>
      </c>
      <c r="X18" s="4">
        <v>3398.7</v>
      </c>
      <c r="Y18" s="4">
        <v>3697</v>
      </c>
      <c r="Z18" s="4">
        <v>4013.1</v>
      </c>
      <c r="AA18" s="4">
        <v>4228.3</v>
      </c>
      <c r="AB18" s="7">
        <v>4571</v>
      </c>
    </row>
    <row r="19" spans="2:28" x14ac:dyDescent="0.35">
      <c r="B19" s="8" t="s">
        <v>17</v>
      </c>
      <c r="C19" s="4">
        <v>396.8</v>
      </c>
      <c r="D19" s="4">
        <v>477.6</v>
      </c>
      <c r="E19" s="4">
        <v>539.70000000000005</v>
      </c>
      <c r="F19" s="4">
        <v>552.4</v>
      </c>
      <c r="G19" s="4">
        <v>593.6</v>
      </c>
      <c r="H19" s="4">
        <v>604.4</v>
      </c>
      <c r="I19" s="4">
        <v>656</v>
      </c>
      <c r="J19" s="4">
        <v>688.4</v>
      </c>
      <c r="K19" s="4">
        <v>537.5</v>
      </c>
      <c r="L19" s="4">
        <v>357.2</v>
      </c>
      <c r="M19" s="4">
        <v>342.5</v>
      </c>
      <c r="N19" s="4">
        <v>790</v>
      </c>
      <c r="O19" s="4">
        <v>1111.8</v>
      </c>
      <c r="P19" s="4">
        <v>1420.2</v>
      </c>
      <c r="Q19" s="4">
        <v>1651.1</v>
      </c>
      <c r="R19" s="4">
        <v>1747.3</v>
      </c>
      <c r="S19" s="4">
        <v>2140.3000000000002</v>
      </c>
      <c r="T19" s="4">
        <v>2147.3000000000002</v>
      </c>
      <c r="U19" s="4">
        <v>2257.1999999999998</v>
      </c>
      <c r="V19" s="4">
        <v>2341.9</v>
      </c>
      <c r="W19" s="4">
        <v>2529.6</v>
      </c>
      <c r="X19" s="4">
        <v>2499.8000000000002</v>
      </c>
      <c r="Y19" s="4">
        <v>2730.4</v>
      </c>
      <c r="Z19" s="4">
        <v>3055.8</v>
      </c>
      <c r="AA19" s="4">
        <v>3100.3</v>
      </c>
      <c r="AB19" s="7">
        <v>3391.7</v>
      </c>
    </row>
    <row r="20" spans="2:28" x14ac:dyDescent="0.35">
      <c r="B20" s="8" t="s">
        <v>18</v>
      </c>
      <c r="C20" s="4">
        <v>478.2</v>
      </c>
      <c r="D20" s="4">
        <v>494.1</v>
      </c>
      <c r="E20" s="4">
        <v>422.3</v>
      </c>
      <c r="F20" s="4">
        <v>374.4</v>
      </c>
      <c r="G20" s="4">
        <v>361.3</v>
      </c>
      <c r="H20" s="4">
        <v>351</v>
      </c>
      <c r="I20" s="4">
        <v>353.3</v>
      </c>
      <c r="J20" s="4">
        <v>401.6</v>
      </c>
      <c r="K20" s="4">
        <v>441.2</v>
      </c>
      <c r="L20" s="4">
        <v>433.8</v>
      </c>
      <c r="M20" s="4">
        <v>466.5</v>
      </c>
      <c r="N20" s="4">
        <v>562.79999999999995</v>
      </c>
      <c r="O20" s="4">
        <v>572.70000000000005</v>
      </c>
      <c r="P20" s="4">
        <v>736.9</v>
      </c>
      <c r="Q20" s="4">
        <v>794.3</v>
      </c>
      <c r="R20" s="4">
        <v>801.9</v>
      </c>
      <c r="S20" s="4">
        <v>818.1</v>
      </c>
      <c r="T20" s="4">
        <v>859.3</v>
      </c>
      <c r="U20" s="4">
        <v>883.2</v>
      </c>
      <c r="V20" s="4">
        <v>930.5</v>
      </c>
      <c r="W20" s="4">
        <v>877.7</v>
      </c>
      <c r="X20" s="4">
        <v>898.9</v>
      </c>
      <c r="Y20" s="4">
        <v>966.6</v>
      </c>
      <c r="Z20" s="4">
        <v>957.3</v>
      </c>
      <c r="AA20" s="4">
        <v>1128</v>
      </c>
      <c r="AB20" s="7">
        <v>1179.4000000000001</v>
      </c>
    </row>
    <row r="21" spans="2:28" x14ac:dyDescent="0.35">
      <c r="B21" s="2" t="s">
        <v>19</v>
      </c>
      <c r="C21" s="4">
        <v>3693.7</v>
      </c>
      <c r="D21" s="4">
        <v>3766.3</v>
      </c>
      <c r="E21" s="4">
        <v>3922.2</v>
      </c>
      <c r="F21" s="4">
        <v>4130.2</v>
      </c>
      <c r="G21" s="4">
        <v>4450.3999999999996</v>
      </c>
      <c r="H21" s="4">
        <v>4807.1000000000004</v>
      </c>
      <c r="I21" s="4">
        <v>4962.8999999999996</v>
      </c>
      <c r="J21" s="4">
        <v>5291.6</v>
      </c>
      <c r="K21" s="4">
        <v>5727.3</v>
      </c>
      <c r="L21" s="4">
        <v>6041.7</v>
      </c>
      <c r="M21" s="4">
        <v>6636.6</v>
      </c>
      <c r="N21" s="4">
        <v>7726.7</v>
      </c>
      <c r="O21" s="4">
        <v>8293.7000000000007</v>
      </c>
      <c r="P21" s="4">
        <v>9287.2999999999993</v>
      </c>
      <c r="Q21" s="4">
        <v>9653.1</v>
      </c>
      <c r="R21" s="4">
        <v>9514.5</v>
      </c>
      <c r="S21" s="4">
        <v>9866.2000000000007</v>
      </c>
      <c r="T21" s="4">
        <v>10614.7</v>
      </c>
      <c r="U21" s="4">
        <v>11031.5</v>
      </c>
      <c r="V21" s="4">
        <v>11494</v>
      </c>
      <c r="W21" s="4">
        <v>11960.3</v>
      </c>
      <c r="X21" s="4">
        <v>12171.9</v>
      </c>
      <c r="Y21" s="4">
        <v>12751.2</v>
      </c>
      <c r="Z21" s="4">
        <v>19390.099999999999</v>
      </c>
      <c r="AA21" s="4">
        <v>20387.2</v>
      </c>
      <c r="AB21" s="7">
        <v>16928</v>
      </c>
    </row>
    <row r="22" spans="2:28" x14ac:dyDescent="0.35">
      <c r="B22" s="6" t="s">
        <v>20</v>
      </c>
      <c r="C22" s="4">
        <v>560.6</v>
      </c>
      <c r="D22" s="4">
        <v>593.70000000000005</v>
      </c>
      <c r="E22" s="4">
        <v>593.6</v>
      </c>
      <c r="F22" s="4">
        <v>582.4</v>
      </c>
      <c r="G22" s="4">
        <v>553.9</v>
      </c>
      <c r="H22" s="4">
        <v>604</v>
      </c>
      <c r="I22" s="4">
        <v>604</v>
      </c>
      <c r="J22" s="4">
        <v>643.20000000000005</v>
      </c>
      <c r="K22" s="4">
        <v>709.8</v>
      </c>
      <c r="L22" s="4">
        <v>742.3</v>
      </c>
      <c r="M22" s="4">
        <v>795.8</v>
      </c>
      <c r="N22" s="4">
        <v>898.5</v>
      </c>
      <c r="O22" s="4">
        <v>1045.3</v>
      </c>
      <c r="P22" s="4">
        <v>1173.0999999999999</v>
      </c>
      <c r="Q22" s="4">
        <v>1229.0999999999999</v>
      </c>
      <c r="R22" s="4">
        <v>1243.4000000000001</v>
      </c>
      <c r="S22" s="4">
        <v>1306.2</v>
      </c>
      <c r="T22" s="4">
        <v>1315.2</v>
      </c>
      <c r="U22" s="4">
        <v>1284.2</v>
      </c>
      <c r="V22" s="4">
        <v>1232.3</v>
      </c>
      <c r="W22" s="4">
        <v>1194.5999999999999</v>
      </c>
      <c r="X22" s="4">
        <v>1146.4000000000001</v>
      </c>
      <c r="Y22" s="4">
        <v>1159.4000000000001</v>
      </c>
      <c r="Z22" s="4">
        <v>1448.8</v>
      </c>
      <c r="AA22" s="4">
        <v>2166</v>
      </c>
      <c r="AB22" s="7">
        <v>2200.9</v>
      </c>
    </row>
    <row r="23" spans="2:28" x14ac:dyDescent="0.35">
      <c r="B23" s="6" t="s">
        <v>21</v>
      </c>
      <c r="C23" s="4">
        <v>165.5</v>
      </c>
      <c r="D23" s="4">
        <v>150.5</v>
      </c>
      <c r="E23" s="4">
        <v>133.4</v>
      </c>
      <c r="F23" s="4">
        <v>107.5</v>
      </c>
      <c r="G23" s="4">
        <v>147.80000000000001</v>
      </c>
      <c r="H23" s="4">
        <v>202.5</v>
      </c>
      <c r="I23" s="4">
        <v>168.1</v>
      </c>
      <c r="J23" s="4">
        <v>120.6</v>
      </c>
      <c r="K23" s="4">
        <v>93.2</v>
      </c>
      <c r="L23" s="4">
        <v>100.4</v>
      </c>
      <c r="M23" s="4">
        <v>113.6</v>
      </c>
      <c r="N23" s="4">
        <v>240.9</v>
      </c>
      <c r="O23" s="4">
        <v>558.20000000000005</v>
      </c>
      <c r="P23" s="4">
        <v>597.4</v>
      </c>
      <c r="Q23" s="4">
        <v>485.1</v>
      </c>
      <c r="R23" s="4">
        <v>405.5</v>
      </c>
      <c r="S23" s="4">
        <v>274.8</v>
      </c>
      <c r="T23" s="4">
        <v>184.7</v>
      </c>
      <c r="U23" s="4">
        <v>145.69999999999999</v>
      </c>
      <c r="V23" s="4">
        <v>136.4</v>
      </c>
      <c r="W23" s="4">
        <v>167.6</v>
      </c>
      <c r="X23" s="4">
        <v>148.80000000000001</v>
      </c>
      <c r="Y23" s="4">
        <v>149.19999999999999</v>
      </c>
      <c r="Z23" s="4">
        <v>3843.5</v>
      </c>
      <c r="AA23" s="4">
        <v>2165.1999999999998</v>
      </c>
      <c r="AB23" s="7">
        <v>153.19999999999999</v>
      </c>
    </row>
    <row r="24" spans="2:28" x14ac:dyDescent="0.35">
      <c r="B24" s="6" t="s">
        <v>22</v>
      </c>
      <c r="C24" s="4">
        <v>2967.6</v>
      </c>
      <c r="D24" s="4">
        <v>3022</v>
      </c>
      <c r="E24" s="4">
        <v>3195.1</v>
      </c>
      <c r="F24" s="4">
        <v>3440.3</v>
      </c>
      <c r="G24" s="4">
        <v>3748.6</v>
      </c>
      <c r="H24" s="4">
        <v>4000.6</v>
      </c>
      <c r="I24" s="4">
        <v>4190.8</v>
      </c>
      <c r="J24" s="4">
        <v>4527.8</v>
      </c>
      <c r="K24" s="4">
        <v>4924.3999999999996</v>
      </c>
      <c r="L24" s="4">
        <v>5199</v>
      </c>
      <c r="M24" s="4">
        <v>5727.2</v>
      </c>
      <c r="N24" s="4">
        <v>6587.3</v>
      </c>
      <c r="O24" s="4">
        <v>6690.2</v>
      </c>
      <c r="P24" s="4">
        <v>7516.8</v>
      </c>
      <c r="Q24" s="4">
        <v>7938.8</v>
      </c>
      <c r="R24" s="4">
        <v>7865.5</v>
      </c>
      <c r="S24" s="4">
        <v>8285.2000000000007</v>
      </c>
      <c r="T24" s="4">
        <v>9114.9</v>
      </c>
      <c r="U24" s="4">
        <v>9601.6</v>
      </c>
      <c r="V24" s="4">
        <v>10125.200000000001</v>
      </c>
      <c r="W24" s="4">
        <v>10598.1</v>
      </c>
      <c r="X24" s="4">
        <v>10876.8</v>
      </c>
      <c r="Y24" s="4">
        <v>11442.7</v>
      </c>
      <c r="Z24" s="4">
        <v>14097.7</v>
      </c>
      <c r="AA24" s="4">
        <v>16056</v>
      </c>
      <c r="AB24" s="7">
        <v>14573.9</v>
      </c>
    </row>
    <row r="25" spans="2:28" x14ac:dyDescent="0.35">
      <c r="B25" s="2" t="s">
        <v>23</v>
      </c>
      <c r="C25" s="4">
        <v>2630.1</v>
      </c>
      <c r="D25" s="4">
        <v>2671</v>
      </c>
      <c r="E25" s="4">
        <v>2739.8</v>
      </c>
      <c r="F25" s="4">
        <v>2888.9</v>
      </c>
      <c r="G25" s="4">
        <v>3047.8</v>
      </c>
      <c r="H25" s="4">
        <v>3232.1</v>
      </c>
      <c r="I25" s="4">
        <v>3477.8</v>
      </c>
      <c r="J25" s="4">
        <v>3652.9</v>
      </c>
      <c r="K25" s="4">
        <v>3919.8</v>
      </c>
      <c r="L25" s="4">
        <v>4248.3999999999996</v>
      </c>
      <c r="M25" s="4">
        <v>4449.5</v>
      </c>
      <c r="N25" s="4">
        <v>4530.8999999999996</v>
      </c>
      <c r="O25" s="4">
        <v>4471.8</v>
      </c>
      <c r="P25" s="4">
        <v>4705.8</v>
      </c>
      <c r="Q25" s="4">
        <v>4476</v>
      </c>
      <c r="R25" s="4">
        <v>4632.2</v>
      </c>
      <c r="S25" s="4">
        <v>5413.5</v>
      </c>
      <c r="T25" s="4">
        <v>5452.3</v>
      </c>
      <c r="U25" s="4">
        <v>5699.6</v>
      </c>
      <c r="V25" s="4">
        <v>5840.6</v>
      </c>
      <c r="W25" s="4">
        <v>6073.8</v>
      </c>
      <c r="X25" s="4">
        <v>6283.6</v>
      </c>
      <c r="Y25" s="4">
        <v>6533.6</v>
      </c>
      <c r="Z25" s="4">
        <v>6214.6</v>
      </c>
      <c r="AA25" s="4">
        <v>6668</v>
      </c>
      <c r="AB25" s="7">
        <v>7211.1</v>
      </c>
    </row>
    <row r="26" spans="2:28" x14ac:dyDescent="0.35">
      <c r="B26" s="6" t="s">
        <v>24</v>
      </c>
      <c r="C26" s="4">
        <v>1304.5</v>
      </c>
      <c r="D26" s="4">
        <v>1343.6</v>
      </c>
      <c r="E26" s="4">
        <v>1386.5</v>
      </c>
      <c r="F26" s="4">
        <v>1458.5</v>
      </c>
      <c r="G26" s="4">
        <v>1541.7</v>
      </c>
      <c r="H26" s="4">
        <v>1626.6</v>
      </c>
      <c r="I26" s="4">
        <v>1719.6</v>
      </c>
      <c r="J26" s="4">
        <v>1844.4</v>
      </c>
      <c r="K26" s="4">
        <v>1981</v>
      </c>
      <c r="L26" s="4">
        <v>2145.4</v>
      </c>
      <c r="M26" s="4">
        <v>2283.4</v>
      </c>
      <c r="N26" s="4">
        <v>2353.3000000000002</v>
      </c>
      <c r="O26" s="4">
        <v>2313.4</v>
      </c>
      <c r="P26" s="4">
        <v>2337.3000000000002</v>
      </c>
      <c r="Q26" s="4">
        <v>1913.7</v>
      </c>
      <c r="R26" s="4">
        <v>1966.1</v>
      </c>
      <c r="S26" s="4">
        <v>2596.9</v>
      </c>
      <c r="T26" s="4">
        <v>2734.5</v>
      </c>
      <c r="U26" s="4">
        <v>2893.9</v>
      </c>
      <c r="V26" s="4">
        <v>3025.6</v>
      </c>
      <c r="W26" s="4">
        <v>3155.8</v>
      </c>
      <c r="X26" s="4">
        <v>3291.6</v>
      </c>
      <c r="Y26" s="4">
        <v>3460.8</v>
      </c>
      <c r="Z26" s="4">
        <v>3268.7</v>
      </c>
      <c r="AA26" s="4">
        <v>3494.7</v>
      </c>
      <c r="AB26" s="7">
        <v>3814.1</v>
      </c>
    </row>
    <row r="27" spans="2:28" x14ac:dyDescent="0.35">
      <c r="B27" s="9" t="s">
        <v>9</v>
      </c>
      <c r="C27" s="10">
        <v>1325.5</v>
      </c>
      <c r="D27" s="10">
        <v>1327.4</v>
      </c>
      <c r="E27" s="10">
        <v>1353.3</v>
      </c>
      <c r="F27" s="10">
        <v>1430.4</v>
      </c>
      <c r="G27" s="10">
        <v>1506.2</v>
      </c>
      <c r="H27" s="10">
        <v>1605.5</v>
      </c>
      <c r="I27" s="10">
        <v>1758.3</v>
      </c>
      <c r="J27" s="10">
        <v>1808.5</v>
      </c>
      <c r="K27" s="10">
        <v>1938.8</v>
      </c>
      <c r="L27" s="10">
        <v>2102.9</v>
      </c>
      <c r="M27" s="10">
        <v>2166.1999999999998</v>
      </c>
      <c r="N27" s="10">
        <v>2177.6</v>
      </c>
      <c r="O27" s="10">
        <v>2158.4</v>
      </c>
      <c r="P27" s="10">
        <v>2368.5</v>
      </c>
      <c r="Q27" s="10">
        <v>2562.3000000000002</v>
      </c>
      <c r="R27" s="10">
        <v>2666.1</v>
      </c>
      <c r="S27" s="10">
        <v>2816.6</v>
      </c>
      <c r="T27" s="10">
        <v>2717.7</v>
      </c>
      <c r="U27" s="10">
        <v>2805.7</v>
      </c>
      <c r="V27" s="10">
        <v>2815.1</v>
      </c>
      <c r="W27" s="10">
        <v>2918.1</v>
      </c>
      <c r="X27" s="10">
        <v>2992</v>
      </c>
      <c r="Y27" s="10">
        <v>3072.8</v>
      </c>
      <c r="Z27" s="10">
        <v>2945.8</v>
      </c>
      <c r="AA27" s="10">
        <v>3173.3</v>
      </c>
      <c r="AB27" s="11">
        <v>3397</v>
      </c>
    </row>
    <row r="29" spans="2:28" x14ac:dyDescent="0.35">
      <c r="B29" s="12" t="s">
        <v>25</v>
      </c>
    </row>
    <row r="30" spans="2:28" ht="72.5" x14ac:dyDescent="0.35">
      <c r="B30" s="14" t="s">
        <v>26</v>
      </c>
    </row>
    <row r="32" spans="2:28" x14ac:dyDescent="0.35">
      <c r="B32" s="13"/>
    </row>
  </sheetData>
  <hyperlinks>
    <hyperlink ref="B29" r:id="rId1" xr:uid="{FF964C86-E0E1-4C1C-A039-CBDCCB1D2C2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4316F-EF78-4268-B753-15C3DFA7008E}">
  <dimension ref="B2:AB13"/>
  <sheetViews>
    <sheetView workbookViewId="0">
      <pane xSplit="2" ySplit="5" topLeftCell="R6" activePane="bottomRight" state="frozen"/>
      <selection pane="topRight" activeCell="C1" sqref="C1"/>
      <selection pane="bottomLeft" activeCell="A6" sqref="A6"/>
      <selection pane="bottomRight" activeCell="AD7" sqref="AD7"/>
    </sheetView>
  </sheetViews>
  <sheetFormatPr defaultColWidth="8.7265625" defaultRowHeight="14.5" x14ac:dyDescent="0.35"/>
  <cols>
    <col min="1" max="1" width="8.7265625" style="2"/>
    <col min="2" max="2" width="38.54296875" style="2" customWidth="1"/>
    <col min="3" max="16384" width="8.7265625" style="2"/>
  </cols>
  <sheetData>
    <row r="2" spans="2:28" x14ac:dyDescent="0.35">
      <c r="B2" s="1" t="s">
        <v>337</v>
      </c>
    </row>
    <row r="3" spans="2:28" x14ac:dyDescent="0.35">
      <c r="B3" s="3" t="s">
        <v>3</v>
      </c>
    </row>
    <row r="5" spans="2:28" x14ac:dyDescent="0.35">
      <c r="B5" s="5"/>
      <c r="C5" s="5">
        <v>1997</v>
      </c>
      <c r="D5" s="5">
        <v>1998</v>
      </c>
      <c r="E5" s="5">
        <v>1999</v>
      </c>
      <c r="F5" s="5">
        <v>2000</v>
      </c>
      <c r="G5" s="5">
        <v>2001</v>
      </c>
      <c r="H5" s="5">
        <v>2002</v>
      </c>
      <c r="I5" s="5">
        <v>2003</v>
      </c>
      <c r="J5" s="5">
        <v>2004</v>
      </c>
      <c r="K5" s="5">
        <v>2005</v>
      </c>
      <c r="L5" s="5">
        <v>2006</v>
      </c>
      <c r="M5" s="5">
        <v>2007</v>
      </c>
      <c r="N5" s="5">
        <v>2008</v>
      </c>
      <c r="O5" s="5">
        <v>2009</v>
      </c>
      <c r="P5" s="5">
        <v>2010</v>
      </c>
      <c r="Q5" s="5">
        <v>2011</v>
      </c>
      <c r="R5" s="5">
        <v>2012</v>
      </c>
      <c r="S5" s="5">
        <v>2013</v>
      </c>
      <c r="T5" s="5">
        <v>2014</v>
      </c>
      <c r="U5" s="5">
        <v>2015</v>
      </c>
      <c r="V5" s="5">
        <v>2016</v>
      </c>
      <c r="W5" s="5">
        <v>2017</v>
      </c>
      <c r="X5" s="5">
        <v>2018</v>
      </c>
      <c r="Y5" s="5">
        <v>2019</v>
      </c>
      <c r="Z5" s="5">
        <v>2020</v>
      </c>
      <c r="AA5" s="5">
        <v>2021</v>
      </c>
      <c r="AB5" s="5">
        <v>2022</v>
      </c>
    </row>
    <row r="6" spans="2:28" x14ac:dyDescent="0.35">
      <c r="B6" s="2" t="s">
        <v>338</v>
      </c>
      <c r="C6" s="4">
        <v>37707.4</v>
      </c>
      <c r="D6" s="4">
        <v>37622.9</v>
      </c>
      <c r="E6" s="4">
        <v>38990.6</v>
      </c>
      <c r="F6" s="4">
        <v>41096.800000000003</v>
      </c>
      <c r="G6" s="4">
        <v>42585.4</v>
      </c>
      <c r="H6" s="4">
        <v>44644.2</v>
      </c>
      <c r="I6" s="4">
        <v>48166.1</v>
      </c>
      <c r="J6" s="4">
        <v>52353.5</v>
      </c>
      <c r="K6" s="4">
        <v>57369.4</v>
      </c>
      <c r="L6" s="4">
        <v>60846.5</v>
      </c>
      <c r="M6" s="4">
        <v>64163.6</v>
      </c>
      <c r="N6" s="4">
        <v>65678.2</v>
      </c>
      <c r="O6" s="4">
        <v>64549.7</v>
      </c>
      <c r="P6" s="4">
        <v>66872.899999999994</v>
      </c>
      <c r="Q6" s="4">
        <v>69083.899999999994</v>
      </c>
      <c r="R6" s="4">
        <v>71905.3</v>
      </c>
      <c r="S6" s="4">
        <v>74554.899999999994</v>
      </c>
      <c r="T6" s="4">
        <v>76773.3</v>
      </c>
      <c r="U6" s="4">
        <v>81230.3</v>
      </c>
      <c r="V6" s="4">
        <v>83914.4</v>
      </c>
      <c r="W6" s="4">
        <v>87436.4</v>
      </c>
      <c r="X6" s="4">
        <v>90933.5</v>
      </c>
      <c r="Y6" s="4">
        <v>93356.2</v>
      </c>
      <c r="Z6" s="4">
        <v>84615.2</v>
      </c>
      <c r="AA6" s="4">
        <v>93089.8</v>
      </c>
      <c r="AB6" s="4">
        <v>101082.6</v>
      </c>
    </row>
    <row r="7" spans="2:28" x14ac:dyDescent="0.35">
      <c r="B7" s="2" t="s">
        <v>339</v>
      </c>
      <c r="C7" s="4">
        <v>21079.4</v>
      </c>
      <c r="D7" s="4">
        <v>21564.400000000001</v>
      </c>
      <c r="E7" s="4">
        <v>22223.3</v>
      </c>
      <c r="F7" s="4">
        <v>23456.2</v>
      </c>
      <c r="G7" s="4">
        <v>24637.9</v>
      </c>
      <c r="H7" s="4">
        <v>26166</v>
      </c>
      <c r="I7" s="4">
        <v>27939.7</v>
      </c>
      <c r="J7" s="4">
        <v>29982</v>
      </c>
      <c r="K7" s="4">
        <v>32024.1</v>
      </c>
      <c r="L7" s="4">
        <v>33875.300000000003</v>
      </c>
      <c r="M7" s="4">
        <v>35763.5</v>
      </c>
      <c r="N7" s="4">
        <v>36819.9</v>
      </c>
      <c r="O7" s="4">
        <v>36021.9</v>
      </c>
      <c r="P7" s="4">
        <v>36556.1</v>
      </c>
      <c r="Q7" s="4">
        <v>38155.4</v>
      </c>
      <c r="R7" s="4">
        <v>39546.199999999997</v>
      </c>
      <c r="S7" s="4">
        <v>40832.400000000001</v>
      </c>
      <c r="T7" s="4">
        <v>42505.1</v>
      </c>
      <c r="U7" s="4">
        <v>44525.8</v>
      </c>
      <c r="V7" s="4">
        <v>46047.3</v>
      </c>
      <c r="W7" s="4">
        <v>47715.4</v>
      </c>
      <c r="X7" s="4">
        <v>49071.199999999997</v>
      </c>
      <c r="Y7" s="4">
        <v>50412.2</v>
      </c>
      <c r="Z7" s="4">
        <v>47891.9</v>
      </c>
      <c r="AA7" s="4">
        <v>51392.2</v>
      </c>
      <c r="AB7" s="4">
        <v>54934.7</v>
      </c>
    </row>
    <row r="8" spans="2:28" x14ac:dyDescent="0.35">
      <c r="B8" s="2" t="s">
        <v>340</v>
      </c>
      <c r="C8" s="4">
        <v>3075.3</v>
      </c>
      <c r="D8" s="4">
        <v>3144.3</v>
      </c>
      <c r="E8" s="4">
        <v>3193.1</v>
      </c>
      <c r="F8" s="4">
        <v>3439.8</v>
      </c>
      <c r="G8" s="4">
        <v>3287.1</v>
      </c>
      <c r="H8" s="4">
        <v>3501.8</v>
      </c>
      <c r="I8" s="4">
        <v>3730.2</v>
      </c>
      <c r="J8" s="4">
        <v>4217</v>
      </c>
      <c r="K8" s="4">
        <v>4644.3</v>
      </c>
      <c r="L8" s="4">
        <v>5083.3</v>
      </c>
      <c r="M8" s="4">
        <v>5376.1</v>
      </c>
      <c r="N8" s="4">
        <v>5357.2</v>
      </c>
      <c r="O8" s="4">
        <v>5093.2</v>
      </c>
      <c r="P8" s="4">
        <v>5368.2</v>
      </c>
      <c r="Q8" s="4">
        <v>5752.2</v>
      </c>
      <c r="R8" s="4">
        <v>6216.7</v>
      </c>
      <c r="S8" s="4">
        <v>6406.1</v>
      </c>
      <c r="T8" s="4">
        <v>6814.5</v>
      </c>
      <c r="U8" s="4">
        <v>7183.2</v>
      </c>
      <c r="V8" s="4">
        <v>7429.8</v>
      </c>
      <c r="W8" s="4">
        <v>7931.5</v>
      </c>
      <c r="X8" s="4">
        <v>8727.7999999999993</v>
      </c>
      <c r="Y8" s="4">
        <v>9059.2000000000007</v>
      </c>
      <c r="Z8" s="4">
        <v>4772.1000000000004</v>
      </c>
      <c r="AA8" s="4">
        <v>5072.5</v>
      </c>
      <c r="AB8" s="4">
        <v>9376.7000000000007</v>
      </c>
    </row>
    <row r="9" spans="2:28" x14ac:dyDescent="0.35">
      <c r="B9" s="6" t="s">
        <v>341</v>
      </c>
      <c r="C9" s="4">
        <v>3260.8</v>
      </c>
      <c r="D9" s="4">
        <v>3309</v>
      </c>
      <c r="E9" s="4">
        <v>3344.3</v>
      </c>
      <c r="F9" s="4">
        <v>3593.9</v>
      </c>
      <c r="G9" s="4">
        <v>3547.6</v>
      </c>
      <c r="H9" s="4">
        <v>3654.4</v>
      </c>
      <c r="I9" s="4">
        <v>3944.3</v>
      </c>
      <c r="J9" s="4">
        <v>4382.3999999999996</v>
      </c>
      <c r="K9" s="4">
        <v>4852.8999999999996</v>
      </c>
      <c r="L9" s="4">
        <v>5283.2</v>
      </c>
      <c r="M9" s="4">
        <v>5575.3</v>
      </c>
      <c r="N9" s="4">
        <v>5562.7</v>
      </c>
      <c r="O9" s="4">
        <v>5336.9</v>
      </c>
      <c r="P9" s="4">
        <v>5592.6</v>
      </c>
      <c r="Q9" s="4">
        <v>5999</v>
      </c>
      <c r="R9" s="4">
        <v>6456.4</v>
      </c>
      <c r="S9" s="4">
        <v>6645.8</v>
      </c>
      <c r="T9" s="4">
        <v>7069.1</v>
      </c>
      <c r="U9" s="4">
        <v>7435.1</v>
      </c>
      <c r="V9" s="4">
        <v>7677.4</v>
      </c>
      <c r="W9" s="4">
        <v>8169.9</v>
      </c>
      <c r="X9" s="4">
        <v>8972.6</v>
      </c>
      <c r="Y9" s="4">
        <v>9315.2000000000007</v>
      </c>
      <c r="Z9" s="4">
        <v>8280.7999999999993</v>
      </c>
      <c r="AA9" s="4">
        <v>8318.5</v>
      </c>
      <c r="AB9" s="4">
        <v>9905.2000000000007</v>
      </c>
    </row>
    <row r="10" spans="2:28" x14ac:dyDescent="0.35">
      <c r="B10" s="6" t="s">
        <v>342</v>
      </c>
      <c r="C10" s="4">
        <v>-185.4</v>
      </c>
      <c r="D10" s="4">
        <v>-164.7</v>
      </c>
      <c r="E10" s="4">
        <v>-151.19999999999999</v>
      </c>
      <c r="F10" s="4">
        <v>-154.1</v>
      </c>
      <c r="G10" s="4">
        <v>-260.60000000000002</v>
      </c>
      <c r="H10" s="4">
        <v>-152.6</v>
      </c>
      <c r="I10" s="4">
        <v>-214.1</v>
      </c>
      <c r="J10" s="4">
        <v>-165.4</v>
      </c>
      <c r="K10" s="4">
        <v>-208.6</v>
      </c>
      <c r="L10" s="4">
        <v>-199.9</v>
      </c>
      <c r="M10" s="4">
        <v>-199.2</v>
      </c>
      <c r="N10" s="4">
        <v>-205.5</v>
      </c>
      <c r="O10" s="4">
        <v>-243.6</v>
      </c>
      <c r="P10" s="4">
        <v>-224.4</v>
      </c>
      <c r="Q10" s="4">
        <v>-246.8</v>
      </c>
      <c r="R10" s="4">
        <v>-239.7</v>
      </c>
      <c r="S10" s="4">
        <v>-239.7</v>
      </c>
      <c r="T10" s="4">
        <v>-254.7</v>
      </c>
      <c r="U10" s="4">
        <v>-251.9</v>
      </c>
      <c r="V10" s="4">
        <v>-247.7</v>
      </c>
      <c r="W10" s="4">
        <v>-238.3</v>
      </c>
      <c r="X10" s="2">
        <v>-244.8</v>
      </c>
      <c r="Y10" s="2">
        <v>-256</v>
      </c>
      <c r="Z10" s="16">
        <v>-3508.7</v>
      </c>
      <c r="AA10" s="16">
        <v>-3245.9</v>
      </c>
      <c r="AB10" s="2">
        <v>-528.5</v>
      </c>
    </row>
    <row r="11" spans="2:28" x14ac:dyDescent="0.35">
      <c r="B11" s="17" t="s">
        <v>343</v>
      </c>
      <c r="C11" s="10">
        <v>13552.7</v>
      </c>
      <c r="D11" s="10">
        <v>12914.2</v>
      </c>
      <c r="E11" s="10">
        <v>13574.3</v>
      </c>
      <c r="F11" s="10">
        <v>14200.8</v>
      </c>
      <c r="G11" s="10">
        <v>14660.4</v>
      </c>
      <c r="H11" s="10">
        <v>14976.4</v>
      </c>
      <c r="I11" s="10">
        <v>16496.2</v>
      </c>
      <c r="J11" s="10">
        <v>18154.599999999999</v>
      </c>
      <c r="K11" s="10">
        <v>20701</v>
      </c>
      <c r="L11" s="10">
        <v>21887.9</v>
      </c>
      <c r="M11" s="10">
        <v>23024</v>
      </c>
      <c r="N11" s="10">
        <v>23501.200000000001</v>
      </c>
      <c r="O11" s="10">
        <v>23434.6</v>
      </c>
      <c r="P11" s="10">
        <v>24948.6</v>
      </c>
      <c r="Q11" s="10">
        <v>25176.2</v>
      </c>
      <c r="R11" s="10">
        <v>26142.3</v>
      </c>
      <c r="S11" s="10">
        <v>27316.400000000001</v>
      </c>
      <c r="T11" s="10">
        <v>27453.8</v>
      </c>
      <c r="U11" s="10">
        <v>29521.3</v>
      </c>
      <c r="V11" s="10">
        <v>30437.4</v>
      </c>
      <c r="W11" s="10">
        <v>31789.5</v>
      </c>
      <c r="X11" s="10">
        <v>33134.5</v>
      </c>
      <c r="Y11" s="10">
        <v>33884.800000000003</v>
      </c>
      <c r="Z11" s="10">
        <v>31951.200000000001</v>
      </c>
      <c r="AA11" s="10">
        <v>36625.1</v>
      </c>
      <c r="AB11" s="10">
        <v>36771.300000000003</v>
      </c>
    </row>
    <row r="13" spans="2:28" x14ac:dyDescent="0.35">
      <c r="B13" s="12" t="s">
        <v>25</v>
      </c>
    </row>
  </sheetData>
  <hyperlinks>
    <hyperlink ref="B13" r:id="rId1" xr:uid="{07EB07A3-059D-446D-A612-17ABCFF87DC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66DDB-A95F-478E-82F9-0E43A6517AD9}">
  <dimension ref="B2:L55"/>
  <sheetViews>
    <sheetView workbookViewId="0">
      <selection activeCell="H7" sqref="H7"/>
    </sheetView>
  </sheetViews>
  <sheetFormatPr defaultColWidth="8.81640625" defaultRowHeight="14.5" x14ac:dyDescent="0.35"/>
  <cols>
    <col min="1" max="1" width="8.81640625" style="2"/>
    <col min="2" max="2" width="78.81640625" style="2" customWidth="1"/>
    <col min="3" max="6" width="12.54296875" style="2" customWidth="1"/>
    <col min="7" max="16384" width="8.81640625" style="2"/>
  </cols>
  <sheetData>
    <row r="2" spans="2:12" x14ac:dyDescent="0.35">
      <c r="B2" s="1" t="s">
        <v>540</v>
      </c>
    </row>
    <row r="3" spans="2:12" x14ac:dyDescent="0.35">
      <c r="B3" s="2" t="s">
        <v>541</v>
      </c>
    </row>
    <row r="5" spans="2:12" ht="29" x14ac:dyDescent="0.35">
      <c r="B5" s="5"/>
      <c r="C5" s="18" t="s">
        <v>51</v>
      </c>
      <c r="D5" s="18" t="s">
        <v>52</v>
      </c>
      <c r="E5" s="18" t="s">
        <v>53</v>
      </c>
      <c r="F5" s="18" t="s">
        <v>54</v>
      </c>
    </row>
    <row r="6" spans="2:12" x14ac:dyDescent="0.35">
      <c r="B6" s="1" t="s">
        <v>55</v>
      </c>
    </row>
    <row r="7" spans="2:12" x14ac:dyDescent="0.35">
      <c r="B7" s="1" t="s">
        <v>56</v>
      </c>
      <c r="C7" s="7">
        <v>11713.098</v>
      </c>
      <c r="D7" s="7">
        <v>2434.569</v>
      </c>
      <c r="E7" s="7">
        <v>6421.78</v>
      </c>
      <c r="F7" s="7">
        <v>20580.223000000002</v>
      </c>
    </row>
    <row r="8" spans="2:12" x14ac:dyDescent="0.35">
      <c r="B8" s="2" t="s">
        <v>57</v>
      </c>
      <c r="C8" s="7" t="s">
        <v>58</v>
      </c>
      <c r="D8" s="7" t="s">
        <v>58</v>
      </c>
      <c r="E8" s="7" t="s">
        <v>58</v>
      </c>
      <c r="F8" s="7">
        <v>10.776</v>
      </c>
    </row>
    <row r="9" spans="2:12" x14ac:dyDescent="0.35">
      <c r="B9" s="2" t="s">
        <v>59</v>
      </c>
      <c r="C9" s="7">
        <v>6843.19</v>
      </c>
      <c r="D9" s="7">
        <v>1919.271</v>
      </c>
      <c r="E9" s="7">
        <v>2178.9050000000002</v>
      </c>
      <c r="F9" s="7">
        <v>10941.366</v>
      </c>
      <c r="G9" s="4"/>
      <c r="I9" s="4"/>
      <c r="J9" s="4"/>
    </row>
    <row r="10" spans="2:12" x14ac:dyDescent="0.35">
      <c r="B10" s="2" t="s">
        <v>60</v>
      </c>
      <c r="C10" s="7">
        <v>962.33100000000002</v>
      </c>
      <c r="D10" s="7" t="s">
        <v>58</v>
      </c>
      <c r="E10" s="7">
        <v>479.45800000000003</v>
      </c>
      <c r="F10" s="7">
        <v>1441.789</v>
      </c>
    </row>
    <row r="11" spans="2:12" x14ac:dyDescent="0.35">
      <c r="B11" s="6" t="s">
        <v>61</v>
      </c>
      <c r="C11" s="7"/>
      <c r="D11" s="7"/>
      <c r="E11" s="7"/>
      <c r="F11" s="7"/>
    </row>
    <row r="12" spans="2:12" x14ac:dyDescent="0.35">
      <c r="B12" s="6" t="s">
        <v>62</v>
      </c>
      <c r="C12" s="7">
        <v>284.58100000000002</v>
      </c>
      <c r="D12" s="7" t="s">
        <v>58</v>
      </c>
      <c r="E12" s="7">
        <v>350.54500000000002</v>
      </c>
      <c r="F12" s="7">
        <v>635.12599999999998</v>
      </c>
    </row>
    <row r="13" spans="2:12" x14ac:dyDescent="0.35">
      <c r="B13" s="2" t="s">
        <v>63</v>
      </c>
      <c r="C13" s="7">
        <v>8.7029999999999994</v>
      </c>
      <c r="D13" s="7" t="s">
        <v>58</v>
      </c>
      <c r="E13" s="7">
        <v>55.694000000000003</v>
      </c>
      <c r="F13" s="7">
        <v>64.397000000000006</v>
      </c>
    </row>
    <row r="14" spans="2:12" x14ac:dyDescent="0.35">
      <c r="B14" s="6" t="s">
        <v>61</v>
      </c>
      <c r="C14" s="7"/>
      <c r="D14" s="7"/>
      <c r="E14" s="7"/>
      <c r="F14" s="7"/>
    </row>
    <row r="15" spans="2:12" x14ac:dyDescent="0.35">
      <c r="B15" s="6" t="s">
        <v>64</v>
      </c>
      <c r="C15" s="7"/>
      <c r="D15" s="7"/>
      <c r="E15" s="7"/>
      <c r="F15" s="7"/>
    </row>
    <row r="16" spans="2:12" x14ac:dyDescent="0.35">
      <c r="B16" s="1" t="s">
        <v>65</v>
      </c>
      <c r="C16" s="7">
        <v>3916.2809999999999</v>
      </c>
      <c r="D16" s="7">
        <v>515.298</v>
      </c>
      <c r="E16" s="7">
        <v>3819.11</v>
      </c>
      <c r="F16" s="7">
        <v>8250.6890000000003</v>
      </c>
      <c r="H16" s="16"/>
      <c r="I16" s="4"/>
      <c r="J16" s="4"/>
      <c r="K16" s="4"/>
      <c r="L16" s="4"/>
    </row>
    <row r="17" spans="2:6" x14ac:dyDescent="0.35">
      <c r="B17" s="6" t="s">
        <v>61</v>
      </c>
      <c r="C17" s="7"/>
      <c r="D17" s="7"/>
      <c r="E17" s="7"/>
      <c r="F17" s="7"/>
    </row>
    <row r="18" spans="2:6" x14ac:dyDescent="0.35">
      <c r="B18" s="6" t="s">
        <v>66</v>
      </c>
      <c r="C18" s="7" t="s">
        <v>58</v>
      </c>
      <c r="D18" s="7" t="s">
        <v>58</v>
      </c>
      <c r="E18" s="7">
        <v>2088.7460000000001</v>
      </c>
      <c r="F18" s="7">
        <v>2088.7460000000001</v>
      </c>
    </row>
    <row r="19" spans="2:6" x14ac:dyDescent="0.35">
      <c r="C19" s="7"/>
      <c r="D19" s="7"/>
      <c r="E19" s="7"/>
      <c r="F19" s="7"/>
    </row>
    <row r="20" spans="2:6" x14ac:dyDescent="0.35">
      <c r="B20" s="1" t="s">
        <v>67</v>
      </c>
      <c r="C20" s="7"/>
      <c r="D20" s="7"/>
      <c r="E20" s="7"/>
      <c r="F20" s="7"/>
    </row>
    <row r="21" spans="2:6" x14ac:dyDescent="0.35">
      <c r="B21" s="2" t="s">
        <v>68</v>
      </c>
      <c r="C21" s="7" t="s">
        <v>58</v>
      </c>
      <c r="D21" s="7" t="s">
        <v>58</v>
      </c>
      <c r="E21" s="7">
        <v>10928.451999999999</v>
      </c>
      <c r="F21" s="7">
        <v>10928.451999999999</v>
      </c>
    </row>
    <row r="22" spans="2:6" x14ac:dyDescent="0.35">
      <c r="B22" s="2" t="s">
        <v>69</v>
      </c>
      <c r="C22" s="7" t="s">
        <v>58</v>
      </c>
      <c r="D22" s="7">
        <v>1441.789</v>
      </c>
      <c r="E22" s="7" t="s">
        <v>58</v>
      </c>
      <c r="F22" s="7">
        <v>1441.789</v>
      </c>
    </row>
    <row r="23" spans="2:6" x14ac:dyDescent="0.35">
      <c r="B23" s="2" t="s">
        <v>70</v>
      </c>
      <c r="C23" s="7" t="s">
        <v>58</v>
      </c>
      <c r="D23" s="7">
        <v>64.397000000000006</v>
      </c>
      <c r="E23" s="7" t="s">
        <v>58</v>
      </c>
      <c r="F23" s="7">
        <v>64.397000000000006</v>
      </c>
    </row>
    <row r="24" spans="2:6" x14ac:dyDescent="0.35">
      <c r="B24" s="2" t="s">
        <v>71</v>
      </c>
      <c r="C24" s="7">
        <v>4164.3509999999997</v>
      </c>
      <c r="D24" s="7">
        <v>805.51900000000001</v>
      </c>
      <c r="E24" s="7">
        <v>1056.5619999999999</v>
      </c>
      <c r="F24" s="7">
        <v>6026.4319999999998</v>
      </c>
    </row>
    <row r="25" spans="2:6" x14ac:dyDescent="0.35">
      <c r="B25" s="2" t="s">
        <v>72</v>
      </c>
      <c r="C25" s="7">
        <v>2959.8629999999998</v>
      </c>
      <c r="D25" s="7">
        <v>209.61</v>
      </c>
      <c r="E25" s="7">
        <v>3137.7739999999999</v>
      </c>
      <c r="F25" s="7">
        <v>6307.2460000000001</v>
      </c>
    </row>
    <row r="26" spans="2:6" x14ac:dyDescent="0.35">
      <c r="B26" s="2" t="s">
        <v>73</v>
      </c>
      <c r="C26" s="7">
        <v>219.768</v>
      </c>
      <c r="D26" s="7" t="s">
        <v>58</v>
      </c>
      <c r="E26" s="7">
        <v>2077.6390000000001</v>
      </c>
      <c r="F26" s="7">
        <v>2297.4070000000002</v>
      </c>
    </row>
    <row r="27" spans="2:6" x14ac:dyDescent="0.35">
      <c r="B27" s="2" t="s">
        <v>74</v>
      </c>
      <c r="C27" s="7" t="s">
        <v>58</v>
      </c>
      <c r="D27" s="7">
        <v>2311.0790000000002</v>
      </c>
      <c r="E27" s="7" t="s">
        <v>58</v>
      </c>
      <c r="F27" s="7">
        <v>2311.0790000000002</v>
      </c>
    </row>
    <row r="28" spans="2:6" x14ac:dyDescent="0.35">
      <c r="B28" s="2" t="s">
        <v>75</v>
      </c>
      <c r="C28" s="7">
        <v>0</v>
      </c>
      <c r="D28" s="7">
        <v>2940.8</v>
      </c>
      <c r="E28" s="7">
        <v>1356.463</v>
      </c>
      <c r="F28" s="7">
        <v>4297.2629999999999</v>
      </c>
    </row>
    <row r="29" spans="2:6" x14ac:dyDescent="0.35">
      <c r="B29" s="2" t="s">
        <v>76</v>
      </c>
      <c r="C29" s="7" t="s">
        <v>58</v>
      </c>
      <c r="D29" s="7">
        <v>1361.634</v>
      </c>
      <c r="E29" s="7">
        <v>2918.306</v>
      </c>
      <c r="F29" s="7">
        <v>4279.9399999999996</v>
      </c>
    </row>
    <row r="30" spans="2:6" x14ac:dyDescent="0.35">
      <c r="B30" s="2" t="s">
        <v>77</v>
      </c>
      <c r="C30" s="7">
        <v>121.81699999999999</v>
      </c>
      <c r="D30" s="7">
        <v>58.875999999999998</v>
      </c>
      <c r="E30" s="7">
        <v>227.625</v>
      </c>
      <c r="F30" s="7">
        <v>408.31799999999998</v>
      </c>
    </row>
    <row r="31" spans="2:6" x14ac:dyDescent="0.35">
      <c r="B31" s="2" t="s">
        <v>78</v>
      </c>
      <c r="C31" s="7" t="s">
        <v>58</v>
      </c>
      <c r="D31" s="7">
        <v>219.624</v>
      </c>
      <c r="E31" s="7">
        <v>53.183</v>
      </c>
      <c r="F31" s="7">
        <v>272.80700000000002</v>
      </c>
    </row>
    <row r="32" spans="2:6" x14ac:dyDescent="0.35">
      <c r="B32" s="1" t="s">
        <v>79</v>
      </c>
      <c r="C32" s="7">
        <v>544.12599999999998</v>
      </c>
      <c r="D32" s="7">
        <v>2189.442</v>
      </c>
      <c r="E32" s="7">
        <v>16138.535</v>
      </c>
      <c r="F32" s="7">
        <v>20698.186000000002</v>
      </c>
    </row>
    <row r="33" spans="2:6" x14ac:dyDescent="0.35">
      <c r="B33" s="2" t="s">
        <v>80</v>
      </c>
      <c r="C33" s="7">
        <v>1826.0820000000001</v>
      </c>
      <c r="D33" s="7">
        <v>535.88800000000003</v>
      </c>
      <c r="E33" s="7">
        <v>929.47699999999998</v>
      </c>
      <c r="F33" s="7">
        <v>3291.4470000000001</v>
      </c>
    </row>
    <row r="34" spans="2:6" x14ac:dyDescent="0.35">
      <c r="B34" s="1" t="s">
        <v>81</v>
      </c>
      <c r="C34" s="7">
        <v>544.12599999999998</v>
      </c>
      <c r="D34" s="7">
        <v>1653.5540000000001</v>
      </c>
      <c r="E34" s="7">
        <v>15209.058000000001</v>
      </c>
      <c r="F34" s="7">
        <v>17406.738000000001</v>
      </c>
    </row>
    <row r="35" spans="2:6" x14ac:dyDescent="0.35">
      <c r="C35" s="7"/>
      <c r="D35" s="7"/>
      <c r="E35" s="7"/>
      <c r="F35" s="7"/>
    </row>
    <row r="36" spans="2:6" x14ac:dyDescent="0.35">
      <c r="B36" s="1" t="s">
        <v>82</v>
      </c>
      <c r="C36" s="7"/>
      <c r="D36" s="7"/>
      <c r="E36" s="7"/>
      <c r="F36" s="7"/>
    </row>
    <row r="37" spans="2:6" x14ac:dyDescent="0.35">
      <c r="B37" s="2" t="s">
        <v>83</v>
      </c>
      <c r="C37" s="7" t="s">
        <v>58</v>
      </c>
      <c r="D37" s="7" t="s">
        <v>58</v>
      </c>
      <c r="E37" s="7" t="s">
        <v>58</v>
      </c>
      <c r="F37" s="7" t="s">
        <v>58</v>
      </c>
    </row>
    <row r="38" spans="2:6" x14ac:dyDescent="0.35">
      <c r="B38" s="2" t="s">
        <v>84</v>
      </c>
      <c r="C38" s="7" t="s">
        <v>58</v>
      </c>
      <c r="D38" s="7" t="s">
        <v>58</v>
      </c>
      <c r="E38" s="7" t="s">
        <v>58</v>
      </c>
      <c r="F38" s="7" t="s">
        <v>58</v>
      </c>
    </row>
    <row r="39" spans="2:6" x14ac:dyDescent="0.35">
      <c r="B39" s="2" t="s">
        <v>85</v>
      </c>
      <c r="C39" s="7" t="s">
        <v>58</v>
      </c>
      <c r="D39" s="7">
        <v>2904.3139999999999</v>
      </c>
      <c r="E39" s="7">
        <v>13998.665999999999</v>
      </c>
      <c r="F39" s="7">
        <v>16902.98</v>
      </c>
    </row>
    <row r="40" spans="2:6" x14ac:dyDescent="0.35">
      <c r="B40" s="1" t="s">
        <v>86</v>
      </c>
      <c r="C40" s="7">
        <v>544.12599999999998</v>
      </c>
      <c r="D40" s="7">
        <v>-1250.76</v>
      </c>
      <c r="E40" s="7">
        <v>1210.3920000000001</v>
      </c>
      <c r="F40" s="7">
        <v>503.75799999999998</v>
      </c>
    </row>
    <row r="41" spans="2:6" x14ac:dyDescent="0.35">
      <c r="C41" s="7"/>
      <c r="D41" s="7"/>
      <c r="E41" s="7"/>
      <c r="F41" s="7"/>
    </row>
    <row r="42" spans="2:6" x14ac:dyDescent="0.35">
      <c r="B42" s="1" t="s">
        <v>87</v>
      </c>
      <c r="C42" s="7"/>
      <c r="D42" s="7"/>
      <c r="E42" s="7"/>
      <c r="F42" s="7"/>
    </row>
    <row r="43" spans="2:6" x14ac:dyDescent="0.35">
      <c r="B43" s="2" t="s">
        <v>88</v>
      </c>
      <c r="C43" s="7">
        <v>17.452999999999999</v>
      </c>
      <c r="D43" s="7">
        <v>8.7119999999999997</v>
      </c>
      <c r="E43" s="7">
        <v>28.512</v>
      </c>
      <c r="F43" s="7">
        <v>54.677</v>
      </c>
    </row>
    <row r="44" spans="2:6" x14ac:dyDescent="0.35">
      <c r="B44" s="2" t="s">
        <v>89</v>
      </c>
      <c r="C44" s="7">
        <v>6.4560000000000004</v>
      </c>
      <c r="D44" s="7">
        <v>29.303999999999998</v>
      </c>
      <c r="E44" s="7">
        <v>21.738</v>
      </c>
      <c r="F44" s="7">
        <v>57.497</v>
      </c>
    </row>
    <row r="45" spans="2:6" x14ac:dyDescent="0.35">
      <c r="B45" s="2" t="s">
        <v>90</v>
      </c>
      <c r="C45" s="7">
        <v>2350.1419999999998</v>
      </c>
      <c r="D45" s="7">
        <v>650.01199999999994</v>
      </c>
      <c r="E45" s="7">
        <v>1315.3040000000001</v>
      </c>
      <c r="F45" s="7">
        <v>4315.4570000000003</v>
      </c>
    </row>
    <row r="46" spans="2:6" x14ac:dyDescent="0.35">
      <c r="B46" s="6" t="s">
        <v>91</v>
      </c>
      <c r="C46" s="7">
        <v>2300.3679999999999</v>
      </c>
      <c r="D46" s="7">
        <v>650.01199999999994</v>
      </c>
      <c r="E46" s="7">
        <v>1310.3530000000001</v>
      </c>
      <c r="F46" s="7">
        <v>4260.7330000000002</v>
      </c>
    </row>
    <row r="47" spans="2:6" x14ac:dyDescent="0.35">
      <c r="B47" s="6" t="s">
        <v>92</v>
      </c>
      <c r="C47" s="7">
        <v>49.774000000000001</v>
      </c>
      <c r="D47" s="7">
        <v>0</v>
      </c>
      <c r="E47" s="7">
        <v>4.95</v>
      </c>
      <c r="F47" s="7">
        <v>54.723999999999997</v>
      </c>
    </row>
    <row r="48" spans="2:6" x14ac:dyDescent="0.35">
      <c r="B48" s="6" t="s">
        <v>93</v>
      </c>
      <c r="C48" s="7" t="s">
        <v>58</v>
      </c>
      <c r="D48" s="7" t="s">
        <v>58</v>
      </c>
      <c r="E48" s="7" t="s">
        <v>58</v>
      </c>
      <c r="F48" s="7" t="s">
        <v>58</v>
      </c>
    </row>
    <row r="49" spans="2:8" x14ac:dyDescent="0.35">
      <c r="B49" s="2" t="s">
        <v>94</v>
      </c>
      <c r="C49" s="7">
        <v>1826.0820000000001</v>
      </c>
      <c r="D49" s="7">
        <v>535.88800000000003</v>
      </c>
      <c r="E49" s="7">
        <v>929.47699999999998</v>
      </c>
      <c r="F49" s="7">
        <v>3291.4470000000001</v>
      </c>
      <c r="H49" s="4"/>
    </row>
    <row r="50" spans="2:8" x14ac:dyDescent="0.35">
      <c r="B50" s="2" t="s">
        <v>95</v>
      </c>
      <c r="C50" s="7">
        <v>-9.9789999999999992</v>
      </c>
      <c r="D50" s="7">
        <v>13.608000000000001</v>
      </c>
      <c r="E50" s="7">
        <v>-3.629</v>
      </c>
      <c r="F50" s="7">
        <v>0</v>
      </c>
    </row>
    <row r="51" spans="2:8" x14ac:dyDescent="0.35">
      <c r="B51" s="19" t="s">
        <v>96</v>
      </c>
      <c r="C51" s="11">
        <v>19.047999999999998</v>
      </c>
      <c r="D51" s="11">
        <v>-1357.8989999999999</v>
      </c>
      <c r="E51" s="11">
        <v>821.42</v>
      </c>
      <c r="F51" s="11">
        <v>-517.43100000000004</v>
      </c>
    </row>
    <row r="53" spans="2:8" x14ac:dyDescent="0.35">
      <c r="B53" s="2" t="s">
        <v>97</v>
      </c>
    </row>
    <row r="54" spans="2:8" x14ac:dyDescent="0.35">
      <c r="B54" s="2" t="s">
        <v>98</v>
      </c>
    </row>
    <row r="55" spans="2:8" x14ac:dyDescent="0.35">
      <c r="B55" s="13" t="s">
        <v>99</v>
      </c>
    </row>
  </sheetData>
  <hyperlinks>
    <hyperlink ref="B55" r:id="rId1" xr:uid="{EBA001F1-6833-434E-B11A-A94BEEBF9EA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15BE3-4396-4673-BF8B-8E41FA5F545F}">
  <dimension ref="B1:R174"/>
  <sheetViews>
    <sheetView zoomScaleNormal="100" workbookViewId="0">
      <pane xSplit="2" ySplit="5" topLeftCell="C54" activePane="bottomRight" state="frozen"/>
      <selection activeCell="AB5" sqref="AB5"/>
      <selection pane="topRight" activeCell="AB5" sqref="AB5"/>
      <selection pane="bottomLeft" activeCell="AB5" sqref="AB5"/>
      <selection pane="bottomRight" activeCell="B63" sqref="B63"/>
    </sheetView>
  </sheetViews>
  <sheetFormatPr defaultColWidth="8.7265625" defaultRowHeight="14.5" x14ac:dyDescent="0.35"/>
  <cols>
    <col min="1" max="1" width="8.7265625" style="2"/>
    <col min="2" max="2" width="42.7265625" style="2" customWidth="1"/>
    <col min="3" max="11" width="8.7265625" style="2"/>
    <col min="12" max="12" width="9.54296875" style="2" customWidth="1"/>
    <col min="13" max="13" width="10" style="2" customWidth="1"/>
    <col min="14" max="14" width="9.81640625" style="2" customWidth="1"/>
    <col min="15" max="15" width="10.26953125" style="2" customWidth="1"/>
    <col min="16" max="16" width="10.26953125" style="50" customWidth="1"/>
    <col min="17" max="16384" width="8.7265625" style="2"/>
  </cols>
  <sheetData>
    <row r="1" spans="2:18" x14ac:dyDescent="0.35">
      <c r="N1" s="4"/>
    </row>
    <row r="2" spans="2:18" x14ac:dyDescent="0.35">
      <c r="B2" s="1" t="s">
        <v>172</v>
      </c>
      <c r="K2" s="4"/>
    </row>
    <row r="3" spans="2:18" x14ac:dyDescent="0.35">
      <c r="B3" s="3" t="s">
        <v>114</v>
      </c>
      <c r="K3" s="4"/>
    </row>
    <row r="5" spans="2:18" x14ac:dyDescent="0.35">
      <c r="B5" s="5"/>
      <c r="C5" s="5">
        <v>2009</v>
      </c>
      <c r="D5" s="5">
        <v>2010</v>
      </c>
      <c r="E5" s="5">
        <v>2011</v>
      </c>
      <c r="F5" s="5">
        <v>2012</v>
      </c>
      <c r="G5" s="5">
        <v>2013</v>
      </c>
      <c r="H5" s="5">
        <v>2014</v>
      </c>
      <c r="I5" s="5">
        <v>2015</v>
      </c>
      <c r="J5" s="5">
        <v>2016</v>
      </c>
      <c r="K5" s="5">
        <v>2017</v>
      </c>
      <c r="L5" s="5">
        <v>2018</v>
      </c>
      <c r="M5" s="5">
        <v>2019</v>
      </c>
      <c r="N5" s="5">
        <v>2020</v>
      </c>
      <c r="O5" s="5">
        <v>2021</v>
      </c>
      <c r="P5" s="51">
        <v>2022</v>
      </c>
    </row>
    <row r="6" spans="2:18" x14ac:dyDescent="0.35">
      <c r="B6" s="2" t="s">
        <v>173</v>
      </c>
      <c r="C6" s="4">
        <v>14266.86</v>
      </c>
      <c r="D6" s="4">
        <v>14339.947</v>
      </c>
      <c r="E6" s="4">
        <v>14389.261</v>
      </c>
      <c r="F6" s="4">
        <v>14809.407999999999</v>
      </c>
      <c r="G6" s="4">
        <v>14723.938</v>
      </c>
      <c r="H6" s="4">
        <v>16009.17</v>
      </c>
      <c r="I6" s="4">
        <v>16082.922</v>
      </c>
      <c r="J6" s="4">
        <v>16217.724</v>
      </c>
      <c r="K6" s="4">
        <v>16781.21</v>
      </c>
      <c r="L6" s="4">
        <v>17777.830000000002</v>
      </c>
      <c r="M6" s="4">
        <v>18705.188999999998</v>
      </c>
      <c r="N6" s="4">
        <v>19819.583999999999</v>
      </c>
      <c r="O6" s="4">
        <v>21880.728999999999</v>
      </c>
      <c r="P6" s="52">
        <f>P$94*P96/100</f>
        <v>22813.668687029876</v>
      </c>
    </row>
    <row r="7" spans="2:18" x14ac:dyDescent="0.35">
      <c r="B7" s="2" t="s">
        <v>174</v>
      </c>
      <c r="C7" s="4"/>
      <c r="D7" s="4"/>
      <c r="E7" s="4"/>
      <c r="F7" s="4"/>
      <c r="G7" s="4"/>
      <c r="H7" s="4"/>
      <c r="I7" s="4"/>
      <c r="J7" s="4"/>
      <c r="K7" s="4"/>
      <c r="L7" s="4"/>
      <c r="M7" s="4"/>
      <c r="N7" s="4"/>
      <c r="O7" s="4"/>
      <c r="P7" s="52"/>
    </row>
    <row r="8" spans="2:18" x14ac:dyDescent="0.35">
      <c r="B8" s="6" t="s">
        <v>175</v>
      </c>
      <c r="C8" s="4">
        <v>0.35</v>
      </c>
      <c r="D8" s="4">
        <v>0.33500000000000002</v>
      </c>
      <c r="E8" s="4">
        <v>0.35399999999999998</v>
      </c>
      <c r="F8" s="4">
        <v>0.37</v>
      </c>
      <c r="G8" s="4">
        <v>0.38200000000000001</v>
      </c>
      <c r="H8" s="4">
        <v>0.38600000000000001</v>
      </c>
      <c r="I8" s="4">
        <v>0.38200000000000001</v>
      </c>
      <c r="J8" s="4">
        <v>0.38200000000000001</v>
      </c>
      <c r="K8" s="4">
        <v>0.38200000000000001</v>
      </c>
      <c r="L8" s="4">
        <v>0.38200000000000001</v>
      </c>
      <c r="M8" s="4">
        <v>0.40200000000000002</v>
      </c>
      <c r="N8" s="4">
        <v>0.40200000000000002</v>
      </c>
      <c r="O8" s="4">
        <v>0.40200000000000002</v>
      </c>
      <c r="P8" s="52">
        <f t="shared" ref="P8:P17" si="0">P$94*P98/100</f>
        <v>0.51581352151903792</v>
      </c>
    </row>
    <row r="9" spans="2:18" x14ac:dyDescent="0.35">
      <c r="B9" s="6" t="s">
        <v>176</v>
      </c>
      <c r="C9" s="4">
        <v>14266.51</v>
      </c>
      <c r="D9" s="4">
        <v>14339.611999999999</v>
      </c>
      <c r="E9" s="4">
        <v>14388.906999999999</v>
      </c>
      <c r="F9" s="4">
        <v>14809.038</v>
      </c>
      <c r="G9" s="4">
        <v>14723.556</v>
      </c>
      <c r="H9" s="4">
        <v>16008.784</v>
      </c>
      <c r="I9" s="4">
        <v>16082.54</v>
      </c>
      <c r="J9" s="4">
        <v>16217.342000000001</v>
      </c>
      <c r="K9" s="4">
        <v>16780.828000000001</v>
      </c>
      <c r="L9" s="4">
        <v>17777.448</v>
      </c>
      <c r="M9" s="4">
        <v>18704.787</v>
      </c>
      <c r="N9" s="4">
        <v>19819.182000000001</v>
      </c>
      <c r="O9" s="4">
        <v>21880.327000000001</v>
      </c>
      <c r="P9" s="52">
        <f t="shared" si="0"/>
        <v>22813.152873508356</v>
      </c>
      <c r="R9" s="4"/>
    </row>
    <row r="10" spans="2:18" x14ac:dyDescent="0.35">
      <c r="B10" s="8" t="s">
        <v>177</v>
      </c>
      <c r="C10" s="4">
        <v>10761.915000000001</v>
      </c>
      <c r="D10" s="4">
        <v>10483.514999999999</v>
      </c>
      <c r="E10" s="4">
        <v>10562.332</v>
      </c>
      <c r="F10" s="4">
        <v>10671.864</v>
      </c>
      <c r="G10" s="4">
        <v>10795.101000000001</v>
      </c>
      <c r="H10" s="4">
        <v>11999.703</v>
      </c>
      <c r="I10" s="4">
        <v>11781.668</v>
      </c>
      <c r="J10" s="4">
        <v>12039.986000000001</v>
      </c>
      <c r="K10" s="4">
        <v>12445.597</v>
      </c>
      <c r="L10" s="4">
        <v>13109.59</v>
      </c>
      <c r="M10" s="4">
        <v>13566.118</v>
      </c>
      <c r="N10" s="4">
        <v>14137.832</v>
      </c>
      <c r="O10" s="4">
        <v>15922.978999999999</v>
      </c>
      <c r="P10" s="52">
        <f t="shared" si="0"/>
        <v>16787.026651736305</v>
      </c>
      <c r="R10" s="4"/>
    </row>
    <row r="11" spans="2:18" x14ac:dyDescent="0.35">
      <c r="B11" s="8" t="s">
        <v>178</v>
      </c>
      <c r="C11" s="4">
        <v>1600.357</v>
      </c>
      <c r="D11" s="4">
        <v>1695.252</v>
      </c>
      <c r="E11" s="4">
        <v>1633.7550000000001</v>
      </c>
      <c r="F11" s="4">
        <v>1951.5530000000001</v>
      </c>
      <c r="G11" s="4">
        <v>1798.432</v>
      </c>
      <c r="H11" s="4">
        <v>1848.8119999999999</v>
      </c>
      <c r="I11" s="4">
        <v>2182.96</v>
      </c>
      <c r="J11" s="4">
        <v>2279.163</v>
      </c>
      <c r="K11" s="4">
        <v>2321.7620000000002</v>
      </c>
      <c r="L11" s="4">
        <v>2582.3150000000001</v>
      </c>
      <c r="M11" s="4">
        <v>2941.8029999999999</v>
      </c>
      <c r="N11" s="4">
        <v>2660.902</v>
      </c>
      <c r="O11" s="4">
        <v>2516.71</v>
      </c>
      <c r="P11" s="52">
        <f t="shared" si="0"/>
        <v>3271.9409505401504</v>
      </c>
      <c r="R11" s="4"/>
    </row>
    <row r="12" spans="2:18" x14ac:dyDescent="0.35">
      <c r="B12" s="20" t="s">
        <v>179</v>
      </c>
      <c r="C12" s="4">
        <v>1252.749</v>
      </c>
      <c r="D12" s="4">
        <v>1398.9659999999999</v>
      </c>
      <c r="E12" s="4">
        <v>1403.4359999999999</v>
      </c>
      <c r="F12" s="4">
        <v>1708.471</v>
      </c>
      <c r="G12" s="4">
        <v>1517.827</v>
      </c>
      <c r="H12" s="4">
        <v>1596.0050000000001</v>
      </c>
      <c r="I12" s="4">
        <v>1810.6980000000001</v>
      </c>
      <c r="J12" s="4">
        <v>1408.519</v>
      </c>
      <c r="K12" s="4">
        <v>1502.5619999999999</v>
      </c>
      <c r="L12" s="4">
        <v>1677.9780000000001</v>
      </c>
      <c r="M12" s="4">
        <v>2014.3420000000001</v>
      </c>
      <c r="N12" s="4">
        <v>1811.625</v>
      </c>
      <c r="O12" s="4">
        <v>1689.68</v>
      </c>
      <c r="P12" s="52">
        <f t="shared" si="0"/>
        <v>2241.8052762579091</v>
      </c>
    </row>
    <row r="13" spans="2:18" x14ac:dyDescent="0.35">
      <c r="B13" s="20" t="s">
        <v>180</v>
      </c>
      <c r="C13" s="4">
        <v>347.608</v>
      </c>
      <c r="D13" s="4">
        <v>296.286</v>
      </c>
      <c r="E13" s="4">
        <v>230.31899999999999</v>
      </c>
      <c r="F13" s="4">
        <v>243.08199999999999</v>
      </c>
      <c r="G13" s="4">
        <v>280.60500000000002</v>
      </c>
      <c r="H13" s="4">
        <v>252.80699999999999</v>
      </c>
      <c r="I13" s="4">
        <v>372.262</v>
      </c>
      <c r="J13" s="4">
        <v>870.64400000000001</v>
      </c>
      <c r="K13" s="4">
        <v>819.2</v>
      </c>
      <c r="L13" s="4">
        <v>904.33699999999999</v>
      </c>
      <c r="M13" s="4">
        <v>927.46100000000001</v>
      </c>
      <c r="N13" s="4">
        <v>849.27700000000004</v>
      </c>
      <c r="O13" s="4">
        <v>827.03</v>
      </c>
      <c r="P13" s="52">
        <f t="shared" si="0"/>
        <v>1030.1356742822402</v>
      </c>
    </row>
    <row r="14" spans="2:18" x14ac:dyDescent="0.35">
      <c r="B14" s="6" t="s">
        <v>181</v>
      </c>
      <c r="C14" s="4">
        <v>125.042</v>
      </c>
      <c r="D14" s="4">
        <v>121.968</v>
      </c>
      <c r="E14" s="4">
        <v>125.206</v>
      </c>
      <c r="F14" s="4">
        <v>181.85499999999999</v>
      </c>
      <c r="G14" s="4">
        <v>181.15799999999999</v>
      </c>
      <c r="H14" s="4">
        <v>189.21700000000001</v>
      </c>
      <c r="I14" s="4">
        <v>221.13</v>
      </c>
      <c r="J14" s="4">
        <v>180.96899999999999</v>
      </c>
      <c r="K14" s="4">
        <v>161.351</v>
      </c>
      <c r="L14" s="4">
        <v>139.44399999999999</v>
      </c>
      <c r="M14" s="4">
        <v>147.66200000000001</v>
      </c>
      <c r="N14" s="4">
        <v>149.38200000000001</v>
      </c>
      <c r="O14" s="4">
        <v>163.81399999999999</v>
      </c>
      <c r="P14" s="52">
        <f t="shared" si="0"/>
        <v>229.45173187288634</v>
      </c>
    </row>
    <row r="15" spans="2:18" x14ac:dyDescent="0.35">
      <c r="B15" s="6" t="s">
        <v>182</v>
      </c>
      <c r="C15" s="4">
        <v>632.53700000000003</v>
      </c>
      <c r="D15" s="4">
        <v>498.67899999999997</v>
      </c>
      <c r="E15" s="4">
        <v>560.24099999999999</v>
      </c>
      <c r="F15" s="4">
        <v>547.84500000000003</v>
      </c>
      <c r="G15" s="4">
        <v>547.822</v>
      </c>
      <c r="H15" s="4">
        <v>598.43200000000002</v>
      </c>
      <c r="I15" s="4">
        <v>537.19000000000005</v>
      </c>
      <c r="J15" s="4">
        <v>332.03100000000001</v>
      </c>
      <c r="K15" s="4">
        <v>363.17200000000003</v>
      </c>
      <c r="L15" s="4">
        <v>360.13799999999998</v>
      </c>
      <c r="M15" s="4">
        <v>403.50799999999998</v>
      </c>
      <c r="N15" s="4">
        <v>411.94499999999999</v>
      </c>
      <c r="O15" s="4">
        <v>448.66500000000002</v>
      </c>
      <c r="P15" s="52">
        <f t="shared" si="0"/>
        <v>536.04855998439143</v>
      </c>
    </row>
    <row r="16" spans="2:18" x14ac:dyDescent="0.35">
      <c r="B16" s="6" t="s">
        <v>183</v>
      </c>
      <c r="C16" s="4">
        <v>1146.6590000000001</v>
      </c>
      <c r="D16" s="4">
        <v>1540.1980000000001</v>
      </c>
      <c r="E16" s="4">
        <v>1507.373</v>
      </c>
      <c r="F16" s="4">
        <v>1455.921</v>
      </c>
      <c r="G16" s="4">
        <v>1401.0429999999999</v>
      </c>
      <c r="H16" s="4">
        <v>1372.62</v>
      </c>
      <c r="I16" s="4">
        <v>1359.5920000000001</v>
      </c>
      <c r="J16" s="4">
        <v>1385.193</v>
      </c>
      <c r="K16" s="4">
        <v>1488.9459999999999</v>
      </c>
      <c r="L16" s="4">
        <v>1585.961</v>
      </c>
      <c r="M16" s="4">
        <v>1645.6959999999999</v>
      </c>
      <c r="N16" s="4">
        <v>2459.1210000000001</v>
      </c>
      <c r="O16" s="4">
        <v>2828.1590000000001</v>
      </c>
      <c r="P16" s="52">
        <f t="shared" si="0"/>
        <v>1988.6849793746253</v>
      </c>
    </row>
    <row r="17" spans="2:18" x14ac:dyDescent="0.35">
      <c r="B17" s="6" t="s">
        <v>184</v>
      </c>
      <c r="C17" s="4">
        <v>3713.6680000000001</v>
      </c>
      <c r="D17" s="4">
        <v>3355.0279999999998</v>
      </c>
      <c r="E17" s="4">
        <v>2946.2710000000002</v>
      </c>
      <c r="F17" s="4">
        <v>3085.0940000000001</v>
      </c>
      <c r="G17" s="4">
        <v>3788.2429999999999</v>
      </c>
      <c r="H17" s="4">
        <v>4028.6559999999999</v>
      </c>
      <c r="I17" s="4">
        <v>4174.3950000000004</v>
      </c>
      <c r="J17" s="4">
        <v>4315.5200000000004</v>
      </c>
      <c r="K17" s="4">
        <v>4491.8239999999996</v>
      </c>
      <c r="L17" s="4">
        <v>4446.1139999999996</v>
      </c>
      <c r="M17" s="4">
        <v>4745.223</v>
      </c>
      <c r="N17" s="4">
        <v>4925.6400000000003</v>
      </c>
      <c r="O17" s="4">
        <v>4987.95</v>
      </c>
      <c r="P17" s="52">
        <f t="shared" si="0"/>
        <v>5917.7780007805395</v>
      </c>
    </row>
    <row r="18" spans="2:18" x14ac:dyDescent="0.35">
      <c r="B18" s="20"/>
      <c r="C18" s="4"/>
      <c r="D18" s="4"/>
      <c r="E18" s="4"/>
      <c r="F18" s="4"/>
      <c r="G18" s="4"/>
      <c r="H18" s="4"/>
      <c r="I18" s="4"/>
      <c r="J18" s="4"/>
      <c r="K18" s="4"/>
      <c r="L18" s="4"/>
      <c r="M18" s="4"/>
      <c r="N18" s="4"/>
      <c r="O18" s="4"/>
      <c r="P18" s="52"/>
    </row>
    <row r="19" spans="2:18" x14ac:dyDescent="0.35">
      <c r="B19" s="22" t="s">
        <v>185</v>
      </c>
      <c r="C19" s="4">
        <v>14266.51</v>
      </c>
      <c r="D19" s="4">
        <v>14339.611999999999</v>
      </c>
      <c r="E19" s="4">
        <v>14388.906999999999</v>
      </c>
      <c r="F19" s="4">
        <v>14809.038</v>
      </c>
      <c r="G19" s="4">
        <v>14723.556</v>
      </c>
      <c r="H19" s="4">
        <v>16008.784</v>
      </c>
      <c r="I19" s="4">
        <v>16082.54</v>
      </c>
      <c r="J19" s="4">
        <v>16217.342000000001</v>
      </c>
      <c r="K19" s="4">
        <v>16780.828000000001</v>
      </c>
      <c r="L19" s="4">
        <v>17777.448</v>
      </c>
      <c r="M19" s="4">
        <v>18704.787</v>
      </c>
      <c r="N19" s="4">
        <v>19819.182000000001</v>
      </c>
      <c r="O19" s="4">
        <v>21880.327000000001</v>
      </c>
      <c r="P19" s="52">
        <f t="shared" ref="P19:P22" si="1">P$94*P109/100</f>
        <v>22813.152873508356</v>
      </c>
    </row>
    <row r="20" spans="2:18" x14ac:dyDescent="0.35">
      <c r="B20" s="6" t="s">
        <v>186</v>
      </c>
      <c r="C20" s="4">
        <v>12595.925999999999</v>
      </c>
      <c r="D20" s="4">
        <v>12201.269</v>
      </c>
      <c r="E20" s="4">
        <v>12205.683999999999</v>
      </c>
      <c r="F20" s="4">
        <v>12415.837</v>
      </c>
      <c r="G20" s="4">
        <v>12419.078</v>
      </c>
      <c r="H20" s="4">
        <v>13716.466</v>
      </c>
      <c r="I20" s="4">
        <v>13579.24</v>
      </c>
      <c r="J20" s="4">
        <v>13627.195</v>
      </c>
      <c r="K20" s="4">
        <v>14003.915000000001</v>
      </c>
      <c r="L20" s="4">
        <v>15007.361999999999</v>
      </c>
      <c r="M20" s="4">
        <v>15801.837</v>
      </c>
      <c r="N20" s="4">
        <v>16006.635</v>
      </c>
      <c r="O20" s="4">
        <v>17809.195</v>
      </c>
      <c r="P20" s="52">
        <f t="shared" si="1"/>
        <v>19200.501792513591</v>
      </c>
    </row>
    <row r="21" spans="2:18" x14ac:dyDescent="0.35">
      <c r="B21" s="20" t="s">
        <v>178</v>
      </c>
      <c r="C21" s="4">
        <v>1494.394</v>
      </c>
      <c r="D21" s="4">
        <v>1538.3009999999999</v>
      </c>
      <c r="E21" s="4">
        <v>1411.575</v>
      </c>
      <c r="F21" s="4">
        <v>1504.4570000000001</v>
      </c>
      <c r="G21" s="4">
        <v>1402.2</v>
      </c>
      <c r="H21" s="4">
        <v>1453.5129999999999</v>
      </c>
      <c r="I21" s="4">
        <v>1585.6420000000001</v>
      </c>
      <c r="J21" s="4">
        <v>1607.577</v>
      </c>
      <c r="K21" s="4">
        <v>1599.5609999999999</v>
      </c>
      <c r="L21" s="4">
        <v>1978.704</v>
      </c>
      <c r="M21" s="4">
        <v>2289.0439999999999</v>
      </c>
      <c r="N21" s="4">
        <v>1958.0830000000001</v>
      </c>
      <c r="O21" s="4">
        <v>1932.7139999999999</v>
      </c>
      <c r="P21" s="52">
        <f t="shared" si="1"/>
        <v>2403.358498731227</v>
      </c>
    </row>
    <row r="22" spans="2:18" x14ac:dyDescent="0.35">
      <c r="B22" s="20" t="s">
        <v>187</v>
      </c>
      <c r="C22" s="4">
        <v>11101.531999999999</v>
      </c>
      <c r="D22" s="4">
        <v>10662.968000000001</v>
      </c>
      <c r="E22" s="4">
        <v>10794.109</v>
      </c>
      <c r="F22" s="4">
        <v>10911.38</v>
      </c>
      <c r="G22" s="4">
        <v>11016.878000000001</v>
      </c>
      <c r="H22" s="4">
        <v>12262.953</v>
      </c>
      <c r="I22" s="4">
        <v>11993.598</v>
      </c>
      <c r="J22" s="4">
        <v>12019.618</v>
      </c>
      <c r="K22" s="4">
        <v>12404.353999999999</v>
      </c>
      <c r="L22" s="4">
        <v>13028.657999999999</v>
      </c>
      <c r="M22" s="4">
        <v>13512.793</v>
      </c>
      <c r="N22" s="4">
        <v>14048.552</v>
      </c>
      <c r="O22" s="4">
        <v>15876.481</v>
      </c>
      <c r="P22" s="52">
        <f t="shared" si="1"/>
        <v>16797.143293782359</v>
      </c>
      <c r="R22" s="4"/>
    </row>
    <row r="23" spans="2:18" x14ac:dyDescent="0.35">
      <c r="B23" s="8" t="s">
        <v>188</v>
      </c>
      <c r="C23" s="4"/>
      <c r="D23" s="4"/>
      <c r="E23" s="4"/>
      <c r="F23" s="4"/>
      <c r="G23" s="4"/>
      <c r="H23" s="4"/>
      <c r="I23" s="4"/>
      <c r="J23" s="4"/>
      <c r="K23" s="4"/>
      <c r="L23" s="4"/>
      <c r="M23" s="4"/>
      <c r="N23" s="4"/>
      <c r="O23" s="4"/>
      <c r="P23" s="52"/>
    </row>
    <row r="24" spans="2:18" x14ac:dyDescent="0.35">
      <c r="B24" s="20" t="s">
        <v>138</v>
      </c>
      <c r="C24" s="4">
        <v>3557.2759999999998</v>
      </c>
      <c r="D24" s="4">
        <v>3254.7860000000001</v>
      </c>
      <c r="E24" s="4">
        <v>3345.4</v>
      </c>
      <c r="F24" s="4">
        <v>3502.973</v>
      </c>
      <c r="G24" s="4">
        <v>3404.04</v>
      </c>
      <c r="H24" s="4">
        <v>3388.6039999999998</v>
      </c>
      <c r="I24" s="4">
        <v>3232.5590000000002</v>
      </c>
      <c r="J24" s="4">
        <v>3386.1860000000001</v>
      </c>
      <c r="K24" s="4">
        <v>3409.59</v>
      </c>
      <c r="L24" s="4">
        <v>3658.2139999999999</v>
      </c>
      <c r="M24" s="4">
        <v>3973.7739999999999</v>
      </c>
      <c r="N24" s="4">
        <v>3718.2840000000001</v>
      </c>
      <c r="O24" s="4">
        <v>3616.893</v>
      </c>
      <c r="P24" s="52">
        <f t="shared" ref="P24:P84" si="2">P$94*P114/100</f>
        <v>4704.6538675540496</v>
      </c>
    </row>
    <row r="25" spans="2:18" x14ac:dyDescent="0.35">
      <c r="B25" s="23" t="s">
        <v>178</v>
      </c>
      <c r="C25" s="4">
        <v>315.279</v>
      </c>
      <c r="D25" s="4">
        <v>380.89600000000002</v>
      </c>
      <c r="E25" s="4">
        <v>415.15300000000002</v>
      </c>
      <c r="F25" s="4">
        <v>604.81700000000001</v>
      </c>
      <c r="G25" s="4">
        <v>490.77499999999998</v>
      </c>
      <c r="H25" s="4">
        <v>401.65899999999999</v>
      </c>
      <c r="I25" s="4">
        <v>318.81099999999998</v>
      </c>
      <c r="J25" s="4">
        <v>364.93700000000001</v>
      </c>
      <c r="K25" s="4">
        <v>374.577</v>
      </c>
      <c r="L25" s="4">
        <v>494.69900000000001</v>
      </c>
      <c r="M25" s="4">
        <v>679.76</v>
      </c>
      <c r="N25" s="4">
        <v>396.45100000000002</v>
      </c>
      <c r="O25" s="4">
        <v>366.77800000000002</v>
      </c>
      <c r="P25" s="52">
        <f t="shared" si="2"/>
        <v>587.62383603415776</v>
      </c>
    </row>
    <row r="26" spans="2:18" x14ac:dyDescent="0.35">
      <c r="B26" s="21" t="s">
        <v>189</v>
      </c>
      <c r="C26" s="4">
        <v>1149.6410000000001</v>
      </c>
      <c r="D26" s="4">
        <v>1090.6759999999999</v>
      </c>
      <c r="E26" s="4">
        <v>1311.7560000000001</v>
      </c>
      <c r="F26" s="4">
        <v>1506.7270000000001</v>
      </c>
      <c r="G26" s="4">
        <v>1410.7929999999999</v>
      </c>
      <c r="H26" s="4">
        <v>1133.626</v>
      </c>
      <c r="I26" s="4">
        <v>1082.318</v>
      </c>
      <c r="J26" s="4">
        <v>1110.2460000000001</v>
      </c>
      <c r="K26" s="4">
        <v>1206.6130000000001</v>
      </c>
      <c r="L26" s="4">
        <v>1263.577</v>
      </c>
      <c r="M26" s="4">
        <v>1451.538</v>
      </c>
      <c r="N26" s="4">
        <v>1347.2439999999999</v>
      </c>
      <c r="O26" s="4">
        <v>1231.4860000000001</v>
      </c>
      <c r="P26" s="52">
        <f t="shared" si="2"/>
        <v>1625.7327780864753</v>
      </c>
    </row>
    <row r="27" spans="2:18" x14ac:dyDescent="0.35">
      <c r="B27" s="23" t="s">
        <v>178</v>
      </c>
      <c r="C27" s="4">
        <v>142.78</v>
      </c>
      <c r="D27" s="4">
        <v>174.90600000000001</v>
      </c>
      <c r="E27" s="4">
        <v>249.208</v>
      </c>
      <c r="F27" s="4">
        <v>414.31599999999997</v>
      </c>
      <c r="G27" s="4">
        <v>308.27</v>
      </c>
      <c r="H27" s="4">
        <v>184.096</v>
      </c>
      <c r="I27" s="4">
        <v>130.69300000000001</v>
      </c>
      <c r="J27" s="4">
        <v>122.875</v>
      </c>
      <c r="K27" s="4">
        <v>175.863</v>
      </c>
      <c r="L27" s="4">
        <v>176.523</v>
      </c>
      <c r="M27" s="4">
        <v>367.08600000000001</v>
      </c>
      <c r="N27" s="4">
        <v>173.25899999999999</v>
      </c>
      <c r="O27" s="4">
        <v>156.80600000000001</v>
      </c>
      <c r="P27" s="52">
        <f t="shared" si="2"/>
        <v>254.2643056359405</v>
      </c>
    </row>
    <row r="28" spans="2:18" x14ac:dyDescent="0.35">
      <c r="B28" s="21" t="s">
        <v>190</v>
      </c>
      <c r="C28" s="4">
        <v>2349.502</v>
      </c>
      <c r="D28" s="4">
        <v>2094.712</v>
      </c>
      <c r="E28" s="4">
        <v>1938.691</v>
      </c>
      <c r="F28" s="4">
        <v>1895.835</v>
      </c>
      <c r="G28" s="4">
        <v>1886.4870000000001</v>
      </c>
      <c r="H28" s="4">
        <v>2139.1469999999999</v>
      </c>
      <c r="I28" s="4">
        <v>1991.0170000000001</v>
      </c>
      <c r="J28" s="4">
        <v>2118.41</v>
      </c>
      <c r="K28" s="4">
        <v>2068.7370000000001</v>
      </c>
      <c r="L28" s="4">
        <v>2264.1869999999999</v>
      </c>
      <c r="M28" s="4">
        <v>2396.3429999999998</v>
      </c>
      <c r="N28" s="4">
        <v>2244.4670000000001</v>
      </c>
      <c r="O28" s="4">
        <v>2252.1689999999999</v>
      </c>
      <c r="P28" s="52">
        <f t="shared" si="2"/>
        <v>2888.7227478248806</v>
      </c>
    </row>
    <row r="29" spans="2:18" x14ac:dyDescent="0.35">
      <c r="B29" s="23" t="s">
        <v>178</v>
      </c>
      <c r="C29" s="4">
        <v>172.47900000000001</v>
      </c>
      <c r="D29" s="4">
        <v>205.97900000000001</v>
      </c>
      <c r="E29" s="4">
        <v>165.904</v>
      </c>
      <c r="F29" s="4">
        <v>190.09100000000001</v>
      </c>
      <c r="G29" s="4">
        <v>182.21899999999999</v>
      </c>
      <c r="H29" s="4">
        <v>216.94</v>
      </c>
      <c r="I29" s="4">
        <v>187.601</v>
      </c>
      <c r="J29" s="4">
        <v>242.036</v>
      </c>
      <c r="K29" s="4">
        <v>198.214</v>
      </c>
      <c r="L29" s="4">
        <v>318.01799999999997</v>
      </c>
      <c r="M29" s="4">
        <v>312.666</v>
      </c>
      <c r="N29" s="4">
        <v>223.16499999999999</v>
      </c>
      <c r="O29" s="4">
        <v>209.81200000000001</v>
      </c>
      <c r="P29" s="52">
        <f t="shared" si="2"/>
        <v>333.02591521609872</v>
      </c>
    </row>
    <row r="30" spans="2:18" x14ac:dyDescent="0.35">
      <c r="B30" s="21" t="s">
        <v>191</v>
      </c>
      <c r="C30" s="4">
        <v>58.133000000000003</v>
      </c>
      <c r="D30" s="4">
        <v>69.397999999999996</v>
      </c>
      <c r="E30" s="4">
        <v>94.953000000000003</v>
      </c>
      <c r="F30" s="4">
        <v>100.411</v>
      </c>
      <c r="G30" s="4">
        <v>106.76</v>
      </c>
      <c r="H30" s="4">
        <v>115.831</v>
      </c>
      <c r="I30" s="4">
        <v>159.22399999999999</v>
      </c>
      <c r="J30" s="4">
        <v>157.53</v>
      </c>
      <c r="K30" s="4">
        <v>134.24</v>
      </c>
      <c r="L30" s="4">
        <v>130.44999999999999</v>
      </c>
      <c r="M30" s="4">
        <v>125.893</v>
      </c>
      <c r="N30" s="4">
        <v>126.57299999999999</v>
      </c>
      <c r="O30" s="4">
        <v>133.238</v>
      </c>
      <c r="P30" s="52">
        <f t="shared" si="2"/>
        <v>190.1983416426921</v>
      </c>
    </row>
    <row r="31" spans="2:18" x14ac:dyDescent="0.35">
      <c r="B31" s="20" t="s">
        <v>192</v>
      </c>
      <c r="C31" s="4">
        <v>33.74</v>
      </c>
      <c r="D31" s="4">
        <v>37.484000000000002</v>
      </c>
      <c r="E31" s="4">
        <v>35.697000000000003</v>
      </c>
      <c r="F31" s="4">
        <v>36.234000000000002</v>
      </c>
      <c r="G31" s="4">
        <v>36.213999999999999</v>
      </c>
      <c r="H31" s="4">
        <v>42.91</v>
      </c>
      <c r="I31" s="4">
        <v>39.244</v>
      </c>
      <c r="J31" s="4">
        <v>35.847999999999999</v>
      </c>
      <c r="K31" s="4">
        <v>36.631</v>
      </c>
      <c r="L31" s="4">
        <v>38.121000000000002</v>
      </c>
      <c r="M31" s="4">
        <v>36.573999999999998</v>
      </c>
      <c r="N31" s="4">
        <v>37.631999999999998</v>
      </c>
      <c r="O31" s="4">
        <v>35.368000000000002</v>
      </c>
      <c r="P31" s="52">
        <f t="shared" si="2"/>
        <v>49.896702755639815</v>
      </c>
      <c r="R31" s="4"/>
    </row>
    <row r="32" spans="2:18" x14ac:dyDescent="0.35">
      <c r="B32" s="8" t="s">
        <v>193</v>
      </c>
      <c r="C32" s="4"/>
      <c r="D32" s="4"/>
      <c r="E32" s="4"/>
      <c r="F32" s="4"/>
      <c r="G32" s="4"/>
      <c r="H32" s="4"/>
      <c r="I32" s="4"/>
      <c r="J32" s="4"/>
      <c r="K32" s="4"/>
      <c r="L32" s="4"/>
      <c r="M32" s="4"/>
      <c r="N32" s="4"/>
      <c r="O32" s="4"/>
      <c r="P32" s="52">
        <f t="shared" si="2"/>
        <v>0</v>
      </c>
    </row>
    <row r="33" spans="2:16" x14ac:dyDescent="0.35">
      <c r="B33" s="20" t="s">
        <v>194</v>
      </c>
      <c r="C33" s="4">
        <v>1818.287</v>
      </c>
      <c r="D33" s="4">
        <v>2033.57</v>
      </c>
      <c r="E33" s="4">
        <v>2147.0320000000002</v>
      </c>
      <c r="F33" s="4">
        <v>2059.6419999999998</v>
      </c>
      <c r="G33" s="4">
        <v>2168.7559999999999</v>
      </c>
      <c r="H33" s="4">
        <v>2656.39</v>
      </c>
      <c r="I33" s="4">
        <v>2558.9009999999998</v>
      </c>
      <c r="J33" s="4">
        <v>2855.1880000000001</v>
      </c>
      <c r="K33" s="4">
        <v>3083.9009999999998</v>
      </c>
      <c r="L33" s="4">
        <v>2983.7370000000001</v>
      </c>
      <c r="M33" s="4">
        <v>2953.65</v>
      </c>
      <c r="N33" s="4">
        <v>3066.3809999999999</v>
      </c>
      <c r="O33" s="4">
        <v>3633.165</v>
      </c>
      <c r="P33" s="52">
        <f t="shared" si="2"/>
        <v>3852.9704470567349</v>
      </c>
    </row>
    <row r="34" spans="2:16" x14ac:dyDescent="0.35">
      <c r="B34" s="21" t="s">
        <v>195</v>
      </c>
      <c r="C34" s="4">
        <v>84.227999999999994</v>
      </c>
      <c r="D34" s="4">
        <v>73.531000000000006</v>
      </c>
      <c r="E34" s="4">
        <v>43.21</v>
      </c>
      <c r="F34" s="4">
        <v>90.054000000000002</v>
      </c>
      <c r="G34" s="4">
        <v>84.340999999999994</v>
      </c>
      <c r="H34" s="4">
        <v>84.117000000000004</v>
      </c>
      <c r="I34" s="4">
        <v>74.31</v>
      </c>
      <c r="J34" s="4">
        <v>44.286999999999999</v>
      </c>
      <c r="K34" s="4">
        <v>46.249000000000002</v>
      </c>
      <c r="L34" s="4">
        <v>25.664999999999999</v>
      </c>
      <c r="M34" s="4">
        <v>32.512</v>
      </c>
      <c r="N34" s="4">
        <v>32.19</v>
      </c>
      <c r="O34" s="4">
        <v>44.572000000000003</v>
      </c>
      <c r="P34" s="52">
        <f t="shared" si="2"/>
        <v>60.715026919522536</v>
      </c>
    </row>
    <row r="35" spans="2:16" x14ac:dyDescent="0.35">
      <c r="B35" s="21" t="s">
        <v>196</v>
      </c>
      <c r="C35" s="4">
        <v>1216.9179999999999</v>
      </c>
      <c r="D35" s="4">
        <v>1450.231</v>
      </c>
      <c r="E35" s="4">
        <v>1672.482</v>
      </c>
      <c r="F35" s="4">
        <v>1607.2139999999999</v>
      </c>
      <c r="G35" s="4">
        <v>1732.385</v>
      </c>
      <c r="H35" s="4">
        <v>2244.212</v>
      </c>
      <c r="I35" s="4">
        <v>2084.9349999999999</v>
      </c>
      <c r="J35" s="4">
        <v>2316.8069999999998</v>
      </c>
      <c r="K35" s="4">
        <v>2569.723</v>
      </c>
      <c r="L35" s="4">
        <v>2462.5169999999998</v>
      </c>
      <c r="M35" s="4">
        <v>2412.5479999999998</v>
      </c>
      <c r="N35" s="4">
        <v>2537.2919999999999</v>
      </c>
      <c r="O35" s="4">
        <v>2970.2660000000001</v>
      </c>
      <c r="P35" s="52">
        <f t="shared" si="2"/>
        <v>3161.6548632617732</v>
      </c>
    </row>
    <row r="36" spans="2:16" x14ac:dyDescent="0.35">
      <c r="B36" s="21" t="s">
        <v>197</v>
      </c>
      <c r="C36" s="4">
        <v>517.14099999999996</v>
      </c>
      <c r="D36" s="4">
        <v>509.80799999999999</v>
      </c>
      <c r="E36" s="4">
        <v>431.34</v>
      </c>
      <c r="F36" s="4">
        <v>362.37400000000002</v>
      </c>
      <c r="G36" s="4">
        <v>352.03</v>
      </c>
      <c r="H36" s="4">
        <v>328.06099999999998</v>
      </c>
      <c r="I36" s="4">
        <v>399.65600000000001</v>
      </c>
      <c r="J36" s="4">
        <v>494.09399999999999</v>
      </c>
      <c r="K36" s="4">
        <v>467.92899999999997</v>
      </c>
      <c r="L36" s="4">
        <v>495.55500000000001</v>
      </c>
      <c r="M36" s="4">
        <v>508.59</v>
      </c>
      <c r="N36" s="4">
        <v>496.899</v>
      </c>
      <c r="O36" s="4">
        <v>618.327</v>
      </c>
      <c r="P36" s="52">
        <f t="shared" si="2"/>
        <v>630.60055687543991</v>
      </c>
    </row>
    <row r="37" spans="2:16" x14ac:dyDescent="0.35">
      <c r="B37" s="20" t="s">
        <v>141</v>
      </c>
      <c r="C37" s="4">
        <v>601.20500000000004</v>
      </c>
      <c r="D37" s="4">
        <v>640.33100000000002</v>
      </c>
      <c r="E37" s="4">
        <v>666.71600000000001</v>
      </c>
      <c r="F37" s="4">
        <v>753.46299999999997</v>
      </c>
      <c r="G37" s="4">
        <v>799.79</v>
      </c>
      <c r="H37" s="4">
        <v>821.97299999999996</v>
      </c>
      <c r="I37" s="4">
        <v>870.39700000000005</v>
      </c>
      <c r="J37" s="4">
        <v>625.57600000000002</v>
      </c>
      <c r="K37" s="4">
        <v>617.85699999999997</v>
      </c>
      <c r="L37" s="4">
        <v>552.96600000000001</v>
      </c>
      <c r="M37" s="4">
        <v>531.50900000000001</v>
      </c>
      <c r="N37" s="4">
        <v>537.44500000000005</v>
      </c>
      <c r="O37" s="4">
        <v>504.209</v>
      </c>
      <c r="P37" s="52">
        <f t="shared" si="2"/>
        <v>863.25602746085588</v>
      </c>
    </row>
    <row r="38" spans="2:16" x14ac:dyDescent="0.35">
      <c r="B38" s="21" t="s">
        <v>178</v>
      </c>
      <c r="C38" s="4">
        <v>32.957999999999998</v>
      </c>
      <c r="D38" s="4">
        <v>35.231999999999999</v>
      </c>
      <c r="E38" s="4">
        <v>32.524000000000001</v>
      </c>
      <c r="F38" s="4">
        <v>48.415999999999997</v>
      </c>
      <c r="G38" s="4">
        <v>62.494999999999997</v>
      </c>
      <c r="H38" s="4">
        <v>48.798000000000002</v>
      </c>
      <c r="I38" s="4">
        <v>49.024999999999999</v>
      </c>
      <c r="J38" s="4">
        <v>3.1930000000000001</v>
      </c>
      <c r="K38" s="4">
        <v>2.1419999999999999</v>
      </c>
      <c r="L38" s="4">
        <v>5.2759999999999998</v>
      </c>
      <c r="M38" s="4">
        <v>3.7919999999999998</v>
      </c>
      <c r="N38" s="4">
        <v>2.0259999999999998</v>
      </c>
      <c r="O38" s="4">
        <v>7.0839999999999996</v>
      </c>
      <c r="P38" s="52">
        <f t="shared" si="2"/>
        <v>17.816633013462869</v>
      </c>
    </row>
    <row r="39" spans="2:16" x14ac:dyDescent="0.35">
      <c r="B39" s="20" t="s">
        <v>198</v>
      </c>
      <c r="C39" s="4">
        <v>706.01099999999997</v>
      </c>
      <c r="D39" s="4">
        <v>576.95100000000002</v>
      </c>
      <c r="E39" s="4">
        <v>641.10699999999997</v>
      </c>
      <c r="F39" s="4">
        <v>507.375</v>
      </c>
      <c r="G39" s="4">
        <v>508.77699999999999</v>
      </c>
      <c r="H39" s="4">
        <v>541.995</v>
      </c>
      <c r="I39" s="4">
        <v>553.32899999999995</v>
      </c>
      <c r="J39" s="4">
        <v>544.41200000000003</v>
      </c>
      <c r="K39" s="4">
        <v>592.85299999999995</v>
      </c>
      <c r="L39" s="4">
        <v>569.55799999999999</v>
      </c>
      <c r="M39" s="4">
        <v>633.87199999999996</v>
      </c>
      <c r="N39" s="4">
        <v>775.31899999999996</v>
      </c>
      <c r="O39" s="4">
        <v>785.56</v>
      </c>
      <c r="P39" s="52">
        <f t="shared" si="2"/>
        <v>772.12404125996591</v>
      </c>
    </row>
    <row r="40" spans="2:16" x14ac:dyDescent="0.35">
      <c r="B40" s="20" t="s">
        <v>199</v>
      </c>
      <c r="C40" s="4">
        <v>21.995999999999999</v>
      </c>
      <c r="D40" s="4">
        <v>5.6929999999999996</v>
      </c>
      <c r="E40" s="4">
        <v>11.146000000000001</v>
      </c>
      <c r="F40" s="4">
        <v>6.13</v>
      </c>
      <c r="G40" s="4">
        <v>5.75</v>
      </c>
      <c r="H40" s="4">
        <v>4.9390000000000001</v>
      </c>
      <c r="I40" s="4">
        <v>4.6109999999999998</v>
      </c>
      <c r="J40" s="4">
        <v>6.46</v>
      </c>
      <c r="K40" s="4">
        <v>6.31</v>
      </c>
      <c r="L40" s="4">
        <v>6.883</v>
      </c>
      <c r="M40" s="4">
        <v>7.5259999999999998</v>
      </c>
      <c r="N40" s="4">
        <v>6.601</v>
      </c>
      <c r="O40" s="4">
        <v>7.3239999999999998</v>
      </c>
      <c r="P40" s="52">
        <f t="shared" si="2"/>
        <v>8.4381275713148725</v>
      </c>
    </row>
    <row r="41" spans="2:16" x14ac:dyDescent="0.35">
      <c r="B41" s="20" t="s">
        <v>200</v>
      </c>
      <c r="C41" s="4">
        <v>2.944</v>
      </c>
      <c r="D41" s="4">
        <v>3.9119999999999999</v>
      </c>
      <c r="E41" s="4">
        <v>2.0209999999999999</v>
      </c>
      <c r="F41" s="4">
        <v>0.23699999999999999</v>
      </c>
      <c r="G41" s="4">
        <v>0.92900000000000005</v>
      </c>
      <c r="H41" s="4">
        <v>0</v>
      </c>
      <c r="I41" s="4">
        <v>0</v>
      </c>
      <c r="J41" s="4">
        <v>0</v>
      </c>
      <c r="K41" s="4">
        <v>7.0000000000000001E-3</v>
      </c>
      <c r="L41" s="4">
        <v>0</v>
      </c>
      <c r="M41" s="4">
        <v>0</v>
      </c>
      <c r="N41" s="4">
        <v>0</v>
      </c>
      <c r="O41" s="4">
        <v>0</v>
      </c>
      <c r="P41" s="52">
        <f t="shared" si="2"/>
        <v>1.8958229817487009E-3</v>
      </c>
    </row>
    <row r="42" spans="2:16" x14ac:dyDescent="0.35">
      <c r="B42" s="8" t="s">
        <v>201</v>
      </c>
      <c r="C42" s="4"/>
      <c r="D42" s="4"/>
      <c r="E42" s="4"/>
      <c r="F42" s="4"/>
      <c r="G42" s="4"/>
      <c r="H42" s="4"/>
      <c r="I42" s="4"/>
      <c r="J42" s="4"/>
      <c r="K42" s="4"/>
      <c r="L42" s="4"/>
      <c r="M42" s="4"/>
      <c r="N42" s="4"/>
      <c r="O42" s="4"/>
      <c r="P42" s="52">
        <f t="shared" si="2"/>
        <v>0</v>
      </c>
    </row>
    <row r="43" spans="2:16" x14ac:dyDescent="0.35">
      <c r="B43" s="20" t="s">
        <v>142</v>
      </c>
      <c r="C43" s="4">
        <v>683.71</v>
      </c>
      <c r="D43" s="4">
        <v>749.12099999999998</v>
      </c>
      <c r="E43" s="4">
        <v>564.64700000000005</v>
      </c>
      <c r="F43" s="4">
        <v>660.18299999999999</v>
      </c>
      <c r="G43" s="4">
        <v>686.05200000000002</v>
      </c>
      <c r="H43" s="4">
        <v>717.38099999999997</v>
      </c>
      <c r="I43" s="4">
        <v>839.33199999999999</v>
      </c>
      <c r="J43" s="4">
        <v>772.029</v>
      </c>
      <c r="K43" s="4">
        <v>602.54100000000005</v>
      </c>
      <c r="L43" s="4">
        <v>760.81899999999996</v>
      </c>
      <c r="M43" s="4">
        <v>820.827</v>
      </c>
      <c r="N43" s="4">
        <v>777.76199999999994</v>
      </c>
      <c r="O43" s="4">
        <v>974.27599999999995</v>
      </c>
      <c r="P43" s="52">
        <f t="shared" si="2"/>
        <v>1015.0278081981101</v>
      </c>
    </row>
    <row r="44" spans="2:16" x14ac:dyDescent="0.35">
      <c r="B44" s="21" t="s">
        <v>178</v>
      </c>
      <c r="C44" s="4">
        <v>318.08699999999999</v>
      </c>
      <c r="D44" s="4">
        <v>353.173</v>
      </c>
      <c r="E44" s="4">
        <v>264.01600000000002</v>
      </c>
      <c r="F44" s="4">
        <v>274.43700000000001</v>
      </c>
      <c r="G44" s="4">
        <v>301.33499999999998</v>
      </c>
      <c r="H44" s="4">
        <v>281.447</v>
      </c>
      <c r="I44" s="4">
        <v>451.887</v>
      </c>
      <c r="J44" s="4">
        <v>366.77</v>
      </c>
      <c r="K44" s="4">
        <v>186.94200000000001</v>
      </c>
      <c r="L44" s="4">
        <v>335.66699999999997</v>
      </c>
      <c r="M44" s="4">
        <v>378.12400000000002</v>
      </c>
      <c r="N44" s="4">
        <v>283.02600000000001</v>
      </c>
      <c r="O44" s="4">
        <v>326.97500000000002</v>
      </c>
      <c r="P44" s="52">
        <f t="shared" si="2"/>
        <v>461.04095047687815</v>
      </c>
    </row>
    <row r="45" spans="2:16" x14ac:dyDescent="0.35">
      <c r="B45" s="20" t="s">
        <v>143</v>
      </c>
      <c r="C45" s="4">
        <v>337.32900000000001</v>
      </c>
      <c r="D45" s="4">
        <v>320.08999999999997</v>
      </c>
      <c r="E45" s="4">
        <v>275.89400000000001</v>
      </c>
      <c r="F45" s="4">
        <v>283.58999999999997</v>
      </c>
      <c r="G45" s="4">
        <v>271.94900000000001</v>
      </c>
      <c r="H45" s="4">
        <v>355.178</v>
      </c>
      <c r="I45" s="4">
        <v>417.82299999999998</v>
      </c>
      <c r="J45" s="4">
        <v>397.16399999999999</v>
      </c>
      <c r="K45" s="4">
        <v>525.08299999999997</v>
      </c>
      <c r="L45" s="4">
        <v>678.57299999999998</v>
      </c>
      <c r="M45" s="4">
        <v>747.91200000000003</v>
      </c>
      <c r="N45" s="4">
        <v>673.50199999999995</v>
      </c>
      <c r="O45" s="4">
        <v>713.35799999999995</v>
      </c>
      <c r="P45" s="52">
        <f t="shared" si="2"/>
        <v>729.72912894268472</v>
      </c>
    </row>
    <row r="46" spans="2:16" x14ac:dyDescent="0.35">
      <c r="B46" s="20" t="s">
        <v>144</v>
      </c>
      <c r="C46" s="4">
        <v>3.0590000000000002</v>
      </c>
      <c r="D46" s="4">
        <v>2.569</v>
      </c>
      <c r="E46" s="4">
        <v>2.9860000000000002</v>
      </c>
      <c r="F46" s="4">
        <v>3.427</v>
      </c>
      <c r="G46" s="4">
        <v>3.7069999999999999</v>
      </c>
      <c r="H46" s="4">
        <v>3.5939999999999999</v>
      </c>
      <c r="I46" s="4">
        <v>4.6550000000000002</v>
      </c>
      <c r="J46" s="4">
        <v>0.90800000000000003</v>
      </c>
      <c r="K46" s="4">
        <v>3.9239999999999999</v>
      </c>
      <c r="L46" s="4">
        <v>3.8959999999999999</v>
      </c>
      <c r="M46" s="4">
        <v>3.3530000000000002</v>
      </c>
      <c r="N46" s="4">
        <v>5.056</v>
      </c>
      <c r="O46" s="4">
        <v>6.6379999999999999</v>
      </c>
      <c r="P46" s="52">
        <f t="shared" si="2"/>
        <v>4.4714977717690427</v>
      </c>
    </row>
    <row r="47" spans="2:16" x14ac:dyDescent="0.35">
      <c r="B47" s="20" t="s">
        <v>145</v>
      </c>
      <c r="C47" s="4">
        <v>47.183999999999997</v>
      </c>
      <c r="D47" s="4">
        <v>45.548000000000002</v>
      </c>
      <c r="E47" s="4">
        <v>49.375</v>
      </c>
      <c r="F47" s="4">
        <v>57.953000000000003</v>
      </c>
      <c r="G47" s="4">
        <v>65.777000000000001</v>
      </c>
      <c r="H47" s="4">
        <v>68.442999999999998</v>
      </c>
      <c r="I47" s="4">
        <v>65.539000000000001</v>
      </c>
      <c r="J47" s="4">
        <v>84.498000000000005</v>
      </c>
      <c r="K47" s="4">
        <v>80.98</v>
      </c>
      <c r="L47" s="4">
        <v>123.16500000000001</v>
      </c>
      <c r="M47" s="4">
        <v>109.703</v>
      </c>
      <c r="N47" s="4">
        <v>126.047</v>
      </c>
      <c r="O47" s="4">
        <v>66.552000000000007</v>
      </c>
      <c r="P47" s="52">
        <f t="shared" si="2"/>
        <v>122.72726771508979</v>
      </c>
    </row>
    <row r="48" spans="2:16" x14ac:dyDescent="0.35">
      <c r="B48" s="8" t="s">
        <v>202</v>
      </c>
      <c r="C48" s="4"/>
      <c r="D48" s="4"/>
      <c r="E48" s="4"/>
      <c r="F48" s="4"/>
      <c r="G48" s="4"/>
      <c r="H48" s="4"/>
      <c r="I48" s="4"/>
      <c r="J48" s="4"/>
      <c r="K48" s="4"/>
      <c r="L48" s="4"/>
      <c r="M48" s="4"/>
      <c r="N48" s="4"/>
      <c r="O48" s="4"/>
      <c r="P48" s="52">
        <f t="shared" si="2"/>
        <v>0</v>
      </c>
    </row>
    <row r="49" spans="2:16" x14ac:dyDescent="0.35">
      <c r="B49" s="20" t="s">
        <v>203</v>
      </c>
      <c r="C49" s="4">
        <v>368.85700000000003</v>
      </c>
      <c r="D49" s="4">
        <v>385.14800000000002</v>
      </c>
      <c r="E49" s="4">
        <v>386.14</v>
      </c>
      <c r="F49" s="4">
        <v>388.55099999999999</v>
      </c>
      <c r="G49" s="4">
        <v>387.91399999999999</v>
      </c>
      <c r="H49" s="4">
        <v>452.67</v>
      </c>
      <c r="I49" s="4">
        <v>457.226</v>
      </c>
      <c r="J49" s="4">
        <v>459.00799999999998</v>
      </c>
      <c r="K49" s="4">
        <v>481.89699999999999</v>
      </c>
      <c r="L49" s="4">
        <v>487.077</v>
      </c>
      <c r="M49" s="4">
        <v>506.95699999999999</v>
      </c>
      <c r="N49" s="4">
        <v>543.15800000000002</v>
      </c>
      <c r="O49" s="4">
        <v>578.71</v>
      </c>
      <c r="P49" s="52">
        <f t="shared" si="2"/>
        <v>638.54140757736798</v>
      </c>
    </row>
    <row r="50" spans="2:16" x14ac:dyDescent="0.35">
      <c r="B50" s="20" t="s">
        <v>204</v>
      </c>
      <c r="C50" s="4">
        <v>172.86600000000001</v>
      </c>
      <c r="D50" s="4">
        <v>180.078</v>
      </c>
      <c r="E50" s="4">
        <v>182.011</v>
      </c>
      <c r="F50" s="4">
        <v>194.86600000000001</v>
      </c>
      <c r="G50" s="4">
        <v>185.11199999999999</v>
      </c>
      <c r="H50" s="4">
        <v>192.267</v>
      </c>
      <c r="I50" s="4">
        <v>221.49799999999999</v>
      </c>
      <c r="J50" s="4">
        <v>227.779</v>
      </c>
      <c r="K50" s="4">
        <v>256.77800000000002</v>
      </c>
      <c r="L50" s="4">
        <v>256.64299999999997</v>
      </c>
      <c r="M50" s="4">
        <v>268.78199999999998</v>
      </c>
      <c r="N50" s="4">
        <v>271.68299999999999</v>
      </c>
      <c r="O50" s="4">
        <v>284.71899999999999</v>
      </c>
      <c r="P50" s="52">
        <f t="shared" si="2"/>
        <v>328.13974449209263</v>
      </c>
    </row>
    <row r="51" spans="2:16" x14ac:dyDescent="0.35">
      <c r="B51" s="20" t="s">
        <v>205</v>
      </c>
      <c r="C51" s="4">
        <v>230.65600000000001</v>
      </c>
      <c r="D51" s="4">
        <v>206.69499999999999</v>
      </c>
      <c r="E51" s="4">
        <v>191.03</v>
      </c>
      <c r="F51" s="4">
        <v>198.20699999999999</v>
      </c>
      <c r="G51" s="4">
        <v>200.98400000000001</v>
      </c>
      <c r="H51" s="4">
        <v>216.708</v>
      </c>
      <c r="I51" s="4">
        <v>217.30099999999999</v>
      </c>
      <c r="J51" s="4">
        <v>217.459</v>
      </c>
      <c r="K51" s="4">
        <v>228.64599999999999</v>
      </c>
      <c r="L51" s="4">
        <v>228.042</v>
      </c>
      <c r="M51" s="4">
        <v>241.512</v>
      </c>
      <c r="N51" s="4">
        <v>234.18299999999999</v>
      </c>
      <c r="O51" s="4">
        <v>221.22900000000001</v>
      </c>
      <c r="P51" s="52">
        <f t="shared" si="2"/>
        <v>302.43082457343013</v>
      </c>
    </row>
    <row r="52" spans="2:16" x14ac:dyDescent="0.35">
      <c r="B52" s="21" t="s">
        <v>178</v>
      </c>
      <c r="C52" s="4">
        <v>9.7919999999999998</v>
      </c>
      <c r="D52" s="4">
        <v>4.8239999999999998</v>
      </c>
      <c r="E52" s="4">
        <v>0.45900000000000002</v>
      </c>
      <c r="F52" s="4">
        <v>0.47299999999999998</v>
      </c>
      <c r="G52" s="4">
        <v>0.502</v>
      </c>
      <c r="H52" s="4">
        <v>1.4059999999999999</v>
      </c>
      <c r="I52" s="4">
        <v>4.3490000000000002</v>
      </c>
      <c r="J52" s="4">
        <v>0.84699999999999998</v>
      </c>
      <c r="K52" s="4">
        <v>3.42</v>
      </c>
      <c r="L52" s="4">
        <v>2.5659999999999998</v>
      </c>
      <c r="M52" s="4">
        <v>1.6479999999999999</v>
      </c>
      <c r="N52" s="4">
        <v>1.9219999999999999</v>
      </c>
      <c r="O52" s="4">
        <v>2.34</v>
      </c>
      <c r="P52" s="52">
        <f t="shared" si="2"/>
        <v>3.4722588931539904</v>
      </c>
    </row>
    <row r="53" spans="2:16" x14ac:dyDescent="0.35">
      <c r="B53" s="20" t="s">
        <v>206</v>
      </c>
      <c r="C53" s="4">
        <v>57.668999999999997</v>
      </c>
      <c r="D53" s="4">
        <v>52.957000000000001</v>
      </c>
      <c r="E53" s="4">
        <v>33.552999999999997</v>
      </c>
      <c r="F53" s="4">
        <v>38.19</v>
      </c>
      <c r="G53" s="4">
        <v>41.106999999999999</v>
      </c>
      <c r="H53" s="4">
        <v>43.031999999999996</v>
      </c>
      <c r="I53" s="4">
        <v>45.116</v>
      </c>
      <c r="J53" s="4">
        <v>58.929000000000002</v>
      </c>
      <c r="K53" s="4">
        <v>59.904000000000003</v>
      </c>
      <c r="L53" s="4">
        <v>71.551000000000002</v>
      </c>
      <c r="M53" s="4">
        <v>73.644000000000005</v>
      </c>
      <c r="N53" s="4">
        <v>77.188999999999993</v>
      </c>
      <c r="O53" s="4">
        <v>76.733999999999995</v>
      </c>
      <c r="P53" s="52">
        <f t="shared" si="2"/>
        <v>81.957373779142813</v>
      </c>
    </row>
    <row r="54" spans="2:16" x14ac:dyDescent="0.35">
      <c r="B54" s="8" t="s">
        <v>207</v>
      </c>
      <c r="C54" s="4"/>
      <c r="D54" s="4"/>
      <c r="E54" s="4"/>
      <c r="F54" s="4"/>
      <c r="G54" s="4"/>
      <c r="H54" s="4"/>
      <c r="I54" s="4"/>
      <c r="J54" s="4"/>
      <c r="K54" s="4"/>
      <c r="L54" s="4"/>
      <c r="M54" s="4"/>
      <c r="N54" s="4"/>
      <c r="O54" s="4"/>
      <c r="P54" s="52">
        <f t="shared" si="2"/>
        <v>0</v>
      </c>
    </row>
    <row r="55" spans="2:16" x14ac:dyDescent="0.35">
      <c r="B55" s="20" t="s">
        <v>146</v>
      </c>
      <c r="C55" s="4">
        <v>127.39</v>
      </c>
      <c r="D55" s="4">
        <v>108.31699999999999</v>
      </c>
      <c r="E55" s="4">
        <v>101.252</v>
      </c>
      <c r="F55" s="4">
        <v>94.784999999999997</v>
      </c>
      <c r="G55" s="4">
        <v>111.491</v>
      </c>
      <c r="H55" s="4">
        <v>120.298</v>
      </c>
      <c r="I55" s="4">
        <v>137.71799999999999</v>
      </c>
      <c r="J55" s="4">
        <v>179.601</v>
      </c>
      <c r="K55" s="4">
        <v>157.48699999999999</v>
      </c>
      <c r="L55" s="4">
        <v>156.749</v>
      </c>
      <c r="M55" s="4">
        <v>147.59399999999999</v>
      </c>
      <c r="N55" s="4">
        <v>160.68600000000001</v>
      </c>
      <c r="O55" s="4">
        <v>168.97499999999999</v>
      </c>
      <c r="P55" s="52">
        <f t="shared" si="2"/>
        <v>208.53517442250475</v>
      </c>
    </row>
    <row r="56" spans="2:16" x14ac:dyDescent="0.35">
      <c r="B56" s="21" t="s">
        <v>178</v>
      </c>
      <c r="C56" s="4">
        <v>15.382999999999999</v>
      </c>
      <c r="D56" s="4">
        <v>7.6189999999999998</v>
      </c>
      <c r="E56" s="4">
        <v>15.525</v>
      </c>
      <c r="F56" s="4">
        <v>5.5609999999999999</v>
      </c>
      <c r="G56" s="4">
        <v>18.507999999999999</v>
      </c>
      <c r="H56" s="4">
        <v>17.387</v>
      </c>
      <c r="I56" s="4">
        <v>34.098999999999997</v>
      </c>
      <c r="J56" s="4">
        <v>69.171000000000006</v>
      </c>
      <c r="K56" s="4">
        <v>44.332999999999998</v>
      </c>
      <c r="L56" s="4">
        <v>39.039000000000001</v>
      </c>
      <c r="M56" s="4">
        <v>21.611999999999998</v>
      </c>
      <c r="N56" s="4">
        <v>28.887</v>
      </c>
      <c r="O56" s="4">
        <v>50.828000000000003</v>
      </c>
      <c r="P56" s="52">
        <f t="shared" si="2"/>
        <v>56.382552937436998</v>
      </c>
    </row>
    <row r="57" spans="2:16" x14ac:dyDescent="0.35">
      <c r="B57" s="20" t="s">
        <v>147</v>
      </c>
      <c r="C57" s="4">
        <v>285.70800000000003</v>
      </c>
      <c r="D57" s="4">
        <v>272.60000000000002</v>
      </c>
      <c r="E57" s="4">
        <v>273.71699999999998</v>
      </c>
      <c r="F57" s="4">
        <v>265.452</v>
      </c>
      <c r="G57" s="4">
        <v>272.13600000000002</v>
      </c>
      <c r="H57" s="4">
        <v>280.13200000000001</v>
      </c>
      <c r="I57" s="4">
        <v>287.54599999999999</v>
      </c>
      <c r="J57" s="4">
        <v>305.56200000000001</v>
      </c>
      <c r="K57" s="4">
        <v>361.84899999999999</v>
      </c>
      <c r="L57" s="4">
        <v>315.93700000000001</v>
      </c>
      <c r="M57" s="4">
        <v>306.18599999999998</v>
      </c>
      <c r="N57" s="4">
        <v>297.863</v>
      </c>
      <c r="O57" s="4">
        <v>314.12299999999999</v>
      </c>
      <c r="P57" s="52">
        <f t="shared" si="2"/>
        <v>421.60134310861065</v>
      </c>
    </row>
    <row r="58" spans="2:16" x14ac:dyDescent="0.35">
      <c r="B58" s="21" t="s">
        <v>178</v>
      </c>
      <c r="C58" s="4">
        <v>61.802999999999997</v>
      </c>
      <c r="D58" s="4">
        <v>55.679000000000002</v>
      </c>
      <c r="E58" s="4">
        <v>65.423000000000002</v>
      </c>
      <c r="F58" s="4">
        <v>53.539000000000001</v>
      </c>
      <c r="G58" s="4">
        <v>52.588999999999999</v>
      </c>
      <c r="H58" s="4">
        <v>44.774999999999999</v>
      </c>
      <c r="I58" s="4">
        <v>47.296999999999997</v>
      </c>
      <c r="J58" s="4">
        <v>100.699</v>
      </c>
      <c r="K58" s="4">
        <v>141.648</v>
      </c>
      <c r="L58" s="4">
        <v>85.317999999999998</v>
      </c>
      <c r="M58" s="4">
        <v>84.364999999999995</v>
      </c>
      <c r="N58" s="4">
        <v>71.744</v>
      </c>
      <c r="O58" s="4">
        <v>90.692999999999998</v>
      </c>
      <c r="P58" s="52">
        <f t="shared" si="2"/>
        <v>122.51842563744223</v>
      </c>
    </row>
    <row r="59" spans="2:16" x14ac:dyDescent="0.35">
      <c r="B59" s="20" t="s">
        <v>148</v>
      </c>
      <c r="C59" s="4">
        <v>234.03899999999999</v>
      </c>
      <c r="D59" s="4">
        <v>211.38</v>
      </c>
      <c r="E59" s="4">
        <v>231.268</v>
      </c>
      <c r="F59" s="4">
        <v>205.624</v>
      </c>
      <c r="G59" s="4">
        <v>251.012</v>
      </c>
      <c r="H59" s="4">
        <v>280.34500000000003</v>
      </c>
      <c r="I59" s="4">
        <v>270.52300000000002</v>
      </c>
      <c r="J59" s="4">
        <v>247.16800000000001</v>
      </c>
      <c r="K59" s="4">
        <v>264.274</v>
      </c>
      <c r="L59" s="4">
        <v>315.22699999999998</v>
      </c>
      <c r="M59" s="4">
        <v>327.178</v>
      </c>
      <c r="N59" s="4">
        <v>374.52</v>
      </c>
      <c r="O59" s="4">
        <v>422.16899999999998</v>
      </c>
      <c r="P59" s="52">
        <f t="shared" si="2"/>
        <v>378.95261361564991</v>
      </c>
    </row>
    <row r="60" spans="2:16" x14ac:dyDescent="0.35">
      <c r="B60" s="20" t="s">
        <v>149</v>
      </c>
      <c r="C60" s="4">
        <v>350.1</v>
      </c>
      <c r="D60" s="4">
        <v>359.71899999999999</v>
      </c>
      <c r="E60" s="4">
        <v>329.04500000000002</v>
      </c>
      <c r="F60" s="4">
        <v>267.61799999999999</v>
      </c>
      <c r="G60" s="4">
        <v>322.63</v>
      </c>
      <c r="H60" s="4">
        <v>358.77100000000002</v>
      </c>
      <c r="I60" s="4">
        <v>370.12700000000001</v>
      </c>
      <c r="J60" s="4">
        <v>409.44499999999999</v>
      </c>
      <c r="K60" s="4">
        <v>399.202</v>
      </c>
      <c r="L60" s="4">
        <v>431.65199999999999</v>
      </c>
      <c r="M60" s="4">
        <v>444.40800000000002</v>
      </c>
      <c r="N60" s="4">
        <v>518.97799999999995</v>
      </c>
      <c r="O60" s="4">
        <v>539.57600000000002</v>
      </c>
      <c r="P60" s="52">
        <f t="shared" si="2"/>
        <v>547.83369303879806</v>
      </c>
    </row>
    <row r="61" spans="2:16" x14ac:dyDescent="0.35">
      <c r="B61" s="21" t="s">
        <v>178</v>
      </c>
      <c r="C61" s="4">
        <v>222.137</v>
      </c>
      <c r="D61" s="4">
        <v>235.06200000000001</v>
      </c>
      <c r="E61" s="4">
        <v>197.24700000000001</v>
      </c>
      <c r="F61" s="4">
        <v>123.137</v>
      </c>
      <c r="G61" s="4">
        <v>172.41</v>
      </c>
      <c r="H61" s="4">
        <v>206.78800000000001</v>
      </c>
      <c r="I61" s="4">
        <v>219.779</v>
      </c>
      <c r="J61" s="4">
        <v>254.739</v>
      </c>
      <c r="K61" s="4">
        <v>225.238</v>
      </c>
      <c r="L61" s="4">
        <v>252.41200000000001</v>
      </c>
      <c r="M61" s="4">
        <v>251.41900000000001</v>
      </c>
      <c r="N61" s="4">
        <v>329.322</v>
      </c>
      <c r="O61" s="4">
        <v>353.28100000000001</v>
      </c>
      <c r="P61" s="52">
        <f t="shared" si="2"/>
        <v>321.29640243750055</v>
      </c>
    </row>
    <row r="62" spans="2:16" x14ac:dyDescent="0.35">
      <c r="B62" s="20" t="s">
        <v>150</v>
      </c>
      <c r="C62" s="4">
        <v>288.01299999999998</v>
      </c>
      <c r="D62" s="4">
        <v>308.75400000000002</v>
      </c>
      <c r="E62" s="4">
        <v>313.642</v>
      </c>
      <c r="F62" s="4">
        <v>298.86099999999999</v>
      </c>
      <c r="G62" s="4">
        <v>221.93799999999999</v>
      </c>
      <c r="H62" s="4">
        <v>232.75299999999999</v>
      </c>
      <c r="I62" s="4">
        <v>253.25800000000001</v>
      </c>
      <c r="J62" s="4">
        <v>226.798</v>
      </c>
      <c r="K62" s="4">
        <v>266.07499999999999</v>
      </c>
      <c r="L62" s="4">
        <v>285.24</v>
      </c>
      <c r="M62" s="4">
        <v>289.78399999999999</v>
      </c>
      <c r="N62" s="4">
        <v>343.86700000000002</v>
      </c>
      <c r="O62" s="4">
        <v>281.24299999999999</v>
      </c>
      <c r="P62" s="52">
        <f t="shared" si="2"/>
        <v>351.97753104766207</v>
      </c>
    </row>
    <row r="63" spans="2:16" x14ac:dyDescent="0.35">
      <c r="B63" s="21" t="s">
        <v>178</v>
      </c>
      <c r="C63" s="4">
        <v>95.492000000000004</v>
      </c>
      <c r="D63" s="4">
        <v>130.16</v>
      </c>
      <c r="E63" s="4">
        <v>141.11799999999999</v>
      </c>
      <c r="F63" s="4">
        <v>101.002</v>
      </c>
      <c r="G63" s="4">
        <v>34.819000000000003</v>
      </c>
      <c r="H63" s="4">
        <v>23.611999999999998</v>
      </c>
      <c r="I63" s="4">
        <v>34.588999999999999</v>
      </c>
      <c r="J63" s="4">
        <v>22.16</v>
      </c>
      <c r="K63" s="4">
        <v>25.332000000000001</v>
      </c>
      <c r="L63" s="4">
        <v>44.79</v>
      </c>
      <c r="M63" s="4">
        <v>23.213999999999999</v>
      </c>
      <c r="N63" s="4">
        <v>79.162999999999997</v>
      </c>
      <c r="O63" s="4">
        <v>48.454999999999998</v>
      </c>
      <c r="P63" s="52">
        <f t="shared" si="2"/>
        <v>40.149352567995052</v>
      </c>
    </row>
    <row r="64" spans="2:16" x14ac:dyDescent="0.35">
      <c r="B64" s="8" t="s">
        <v>208</v>
      </c>
      <c r="C64" s="4"/>
      <c r="D64" s="4"/>
      <c r="E64" s="4"/>
      <c r="F64" s="4"/>
      <c r="G64" s="4"/>
      <c r="H64" s="4"/>
      <c r="I64" s="4"/>
      <c r="J64" s="4"/>
      <c r="K64" s="4"/>
      <c r="L64" s="4"/>
      <c r="M64" s="4"/>
      <c r="N64" s="4"/>
      <c r="O64" s="4"/>
      <c r="P64" s="52">
        <f t="shared" si="2"/>
        <v>0</v>
      </c>
    </row>
    <row r="65" spans="2:16" x14ac:dyDescent="0.35">
      <c r="B65" s="20" t="s">
        <v>209</v>
      </c>
      <c r="C65" s="4">
        <v>189.761</v>
      </c>
      <c r="D65" s="4">
        <v>177.64699999999999</v>
      </c>
      <c r="E65" s="4">
        <v>195.762</v>
      </c>
      <c r="F65" s="4">
        <v>163.04900000000001</v>
      </c>
      <c r="G65" s="4">
        <v>174.05799999999999</v>
      </c>
      <c r="H65" s="4">
        <v>196.148</v>
      </c>
      <c r="I65" s="4">
        <v>205.17</v>
      </c>
      <c r="J65" s="4">
        <v>272.23599999999999</v>
      </c>
      <c r="K65" s="4">
        <v>277.29000000000002</v>
      </c>
      <c r="L65" s="4">
        <v>280.22699999999998</v>
      </c>
      <c r="M65" s="4">
        <v>283.71499999999997</v>
      </c>
      <c r="N65" s="4">
        <v>377.529</v>
      </c>
      <c r="O65" s="4">
        <v>447.83199999999999</v>
      </c>
      <c r="P65" s="52">
        <f t="shared" si="2"/>
        <v>351.11062752491574</v>
      </c>
    </row>
    <row r="66" spans="2:16" x14ac:dyDescent="0.35">
      <c r="B66" s="20" t="s">
        <v>210</v>
      </c>
      <c r="C66" s="4">
        <v>335.14699999999999</v>
      </c>
      <c r="D66" s="4">
        <v>264.23500000000001</v>
      </c>
      <c r="E66" s="4">
        <v>238.30699999999999</v>
      </c>
      <c r="F66" s="4">
        <v>266.59500000000003</v>
      </c>
      <c r="G66" s="4">
        <v>262.60199999999998</v>
      </c>
      <c r="H66" s="4">
        <v>310.09699999999998</v>
      </c>
      <c r="I66" s="4">
        <v>294.10500000000002</v>
      </c>
      <c r="J66" s="4">
        <v>294.48700000000002</v>
      </c>
      <c r="K66" s="4">
        <v>322.72000000000003</v>
      </c>
      <c r="L66" s="4">
        <v>324.84399999999999</v>
      </c>
      <c r="M66" s="4">
        <v>325.46100000000001</v>
      </c>
      <c r="N66" s="4">
        <v>339.815</v>
      </c>
      <c r="O66" s="4">
        <v>308.221</v>
      </c>
      <c r="P66" s="52">
        <f t="shared" si="2"/>
        <v>416.79003788149186</v>
      </c>
    </row>
    <row r="67" spans="2:16" x14ac:dyDescent="0.35">
      <c r="B67" s="20" t="s">
        <v>211</v>
      </c>
      <c r="C67" s="4">
        <v>105.99</v>
      </c>
      <c r="D67" s="4">
        <v>105.536</v>
      </c>
      <c r="E67" s="4">
        <v>106.78100000000001</v>
      </c>
      <c r="F67" s="4">
        <v>142.18700000000001</v>
      </c>
      <c r="G67" s="4">
        <v>152.81200000000001</v>
      </c>
      <c r="H67" s="4">
        <v>161.31200000000001</v>
      </c>
      <c r="I67" s="4">
        <v>148.56800000000001</v>
      </c>
      <c r="J67" s="4">
        <v>145.02099999999999</v>
      </c>
      <c r="K67" s="4">
        <v>166.285</v>
      </c>
      <c r="L67" s="4">
        <v>150.92500000000001</v>
      </c>
      <c r="M67" s="4">
        <v>140.30099999999999</v>
      </c>
      <c r="N67" s="4">
        <v>148.565</v>
      </c>
      <c r="O67" s="4">
        <v>118.726</v>
      </c>
      <c r="P67" s="52">
        <f t="shared" si="2"/>
        <v>201.1183343668894</v>
      </c>
    </row>
    <row r="68" spans="2:16" x14ac:dyDescent="0.35">
      <c r="B68" s="20" t="s">
        <v>212</v>
      </c>
      <c r="C68" s="4">
        <v>124.24</v>
      </c>
      <c r="D68" s="4">
        <v>122.42100000000001</v>
      </c>
      <c r="E68" s="4">
        <v>108.547</v>
      </c>
      <c r="F68" s="4">
        <v>135.82300000000001</v>
      </c>
      <c r="G68" s="4">
        <v>135.71600000000001</v>
      </c>
      <c r="H68" s="4">
        <v>146.69300000000001</v>
      </c>
      <c r="I68" s="4">
        <v>142.97900000000001</v>
      </c>
      <c r="J68" s="4">
        <v>144.23599999999999</v>
      </c>
      <c r="K68" s="4">
        <v>150.19499999999999</v>
      </c>
      <c r="L68" s="4">
        <v>154.17400000000001</v>
      </c>
      <c r="M68" s="4">
        <v>225.04</v>
      </c>
      <c r="N68" s="4">
        <v>229.40299999999999</v>
      </c>
      <c r="O68" s="4">
        <v>413.85899999999998</v>
      </c>
      <c r="P68" s="52">
        <f t="shared" si="2"/>
        <v>216.42273350915445</v>
      </c>
    </row>
    <row r="69" spans="2:16" x14ac:dyDescent="0.35">
      <c r="B69" s="8" t="s">
        <v>213</v>
      </c>
      <c r="C69" s="4">
        <v>620.08199999999999</v>
      </c>
      <c r="D69" s="4">
        <v>485.39</v>
      </c>
      <c r="E69" s="4">
        <v>544.50699999999995</v>
      </c>
      <c r="F69" s="4">
        <v>535.31200000000001</v>
      </c>
      <c r="G69" s="4">
        <v>532.48500000000001</v>
      </c>
      <c r="H69" s="4">
        <v>583.35599999999999</v>
      </c>
      <c r="I69" s="4">
        <v>526.69899999999996</v>
      </c>
      <c r="J69" s="4">
        <v>321.32600000000002</v>
      </c>
      <c r="K69" s="4">
        <v>348.88799999999998</v>
      </c>
      <c r="L69" s="4">
        <v>335.02199999999999</v>
      </c>
      <c r="M69" s="4">
        <v>380.565</v>
      </c>
      <c r="N69" s="4">
        <v>381.03699999999998</v>
      </c>
      <c r="O69" s="4">
        <v>402.66500000000002</v>
      </c>
      <c r="P69" s="52">
        <f t="shared" si="2"/>
        <v>514.12906114029818</v>
      </c>
    </row>
    <row r="70" spans="2:16" x14ac:dyDescent="0.35">
      <c r="B70" s="8" t="s">
        <v>214</v>
      </c>
      <c r="C70" s="4"/>
      <c r="D70" s="4"/>
      <c r="E70" s="4"/>
      <c r="F70" s="4"/>
      <c r="G70" s="4"/>
      <c r="H70" s="4"/>
      <c r="I70" s="4"/>
      <c r="J70" s="4"/>
      <c r="K70" s="4"/>
      <c r="L70" s="4"/>
      <c r="M70" s="4"/>
      <c r="N70" s="4"/>
      <c r="O70" s="4"/>
      <c r="P70" s="52">
        <f t="shared" si="2"/>
        <v>0</v>
      </c>
    </row>
    <row r="71" spans="2:16" x14ac:dyDescent="0.35">
      <c r="B71" s="20" t="s">
        <v>215</v>
      </c>
      <c r="C71" s="4">
        <v>0.36299999999999999</v>
      </c>
      <c r="D71" s="4">
        <v>0.26600000000000001</v>
      </c>
      <c r="E71" s="4">
        <v>0.27300000000000002</v>
      </c>
      <c r="F71" s="4">
        <v>1.129</v>
      </c>
      <c r="G71" s="4">
        <v>0.30099999999999999</v>
      </c>
      <c r="H71" s="4">
        <v>0.371</v>
      </c>
      <c r="I71" s="4">
        <v>0.373</v>
      </c>
      <c r="J71" s="4">
        <v>0.39400000000000002</v>
      </c>
      <c r="K71" s="4">
        <v>0.373</v>
      </c>
      <c r="L71" s="4">
        <v>0.438</v>
      </c>
      <c r="M71" s="4">
        <v>0.39600000000000002</v>
      </c>
      <c r="N71" s="4">
        <v>0.39500000000000002</v>
      </c>
      <c r="O71" s="4">
        <v>0.69399999999999995</v>
      </c>
      <c r="P71" s="52">
        <f t="shared" si="2"/>
        <v>0.52709773408382887</v>
      </c>
    </row>
    <row r="72" spans="2:16" x14ac:dyDescent="0.35">
      <c r="B72" s="20" t="s">
        <v>216</v>
      </c>
      <c r="C72" s="4">
        <v>1292.3040000000001</v>
      </c>
      <c r="D72" s="4">
        <v>1290.0709999999999</v>
      </c>
      <c r="E72" s="4">
        <v>1227.828</v>
      </c>
      <c r="F72" s="4">
        <v>1348.3810000000001</v>
      </c>
      <c r="G72" s="4">
        <v>1215.039</v>
      </c>
      <c r="H72" s="4">
        <v>1540.106</v>
      </c>
      <c r="I72" s="4">
        <v>1414.643</v>
      </c>
      <c r="J72" s="4">
        <v>1409.4770000000001</v>
      </c>
      <c r="K72" s="4">
        <v>1302.375</v>
      </c>
      <c r="L72" s="4">
        <v>1837.682</v>
      </c>
      <c r="M72" s="4">
        <v>2021.614</v>
      </c>
      <c r="N72" s="4">
        <v>1983.7349999999999</v>
      </c>
      <c r="O72" s="4">
        <v>2886.377</v>
      </c>
      <c r="P72" s="52">
        <f t="shared" si="2"/>
        <v>2117.1373825923019</v>
      </c>
    </row>
    <row r="73" spans="2:16" x14ac:dyDescent="0.35">
      <c r="B73" s="6" t="s">
        <v>217</v>
      </c>
      <c r="C73" s="4">
        <v>523.92499999999995</v>
      </c>
      <c r="D73" s="4">
        <v>598.14499999999998</v>
      </c>
      <c r="E73" s="4">
        <v>675.85</v>
      </c>
      <c r="F73" s="4">
        <v>937.28</v>
      </c>
      <c r="G73" s="4">
        <v>903.43499999999995</v>
      </c>
      <c r="H73" s="4">
        <v>919.69799999999998</v>
      </c>
      <c r="I73" s="4">
        <v>1143.7080000000001</v>
      </c>
      <c r="J73" s="4">
        <v>1204.954</v>
      </c>
      <c r="K73" s="4">
        <v>1287.9670000000001</v>
      </c>
      <c r="L73" s="4">
        <v>1184.125</v>
      </c>
      <c r="M73" s="4">
        <v>1257.2539999999999</v>
      </c>
      <c r="N73" s="4">
        <v>1353.4259999999999</v>
      </c>
      <c r="O73" s="4">
        <v>1242.973</v>
      </c>
      <c r="P73" s="52">
        <f t="shared" si="2"/>
        <v>1623.9661016201419</v>
      </c>
    </row>
    <row r="74" spans="2:16" x14ac:dyDescent="0.35">
      <c r="B74" s="20" t="s">
        <v>178</v>
      </c>
      <c r="C74" s="4">
        <v>105.96299999999999</v>
      </c>
      <c r="D74" s="4">
        <v>156.95099999999999</v>
      </c>
      <c r="E74" s="4">
        <v>222.18</v>
      </c>
      <c r="F74" s="4">
        <v>447.096</v>
      </c>
      <c r="G74" s="4">
        <v>396.23200000000003</v>
      </c>
      <c r="H74" s="4">
        <v>395.29899999999998</v>
      </c>
      <c r="I74" s="4">
        <v>597.31799999999998</v>
      </c>
      <c r="J74" s="4">
        <v>671.58600000000001</v>
      </c>
      <c r="K74" s="4">
        <v>722.20100000000002</v>
      </c>
      <c r="L74" s="4">
        <v>603.61099999999999</v>
      </c>
      <c r="M74" s="4">
        <v>652.75900000000001</v>
      </c>
      <c r="N74" s="4">
        <v>702.81899999999996</v>
      </c>
      <c r="O74" s="4">
        <v>583.99599999999998</v>
      </c>
      <c r="P74" s="52">
        <f t="shared" si="2"/>
        <v>868.58245180892254</v>
      </c>
    </row>
    <row r="75" spans="2:16" x14ac:dyDescent="0.35">
      <c r="B75" s="8" t="s">
        <v>158</v>
      </c>
      <c r="C75" s="4">
        <v>254.61199999999999</v>
      </c>
      <c r="D75" s="4">
        <v>264.83100000000002</v>
      </c>
      <c r="E75" s="4">
        <v>285.67200000000003</v>
      </c>
      <c r="F75" s="4">
        <v>290.173</v>
      </c>
      <c r="G75" s="4">
        <v>312.46499999999997</v>
      </c>
      <c r="H75" s="4">
        <v>314.572</v>
      </c>
      <c r="I75" s="4">
        <v>323.30599999999998</v>
      </c>
      <c r="J75" s="4">
        <v>325.44600000000003</v>
      </c>
      <c r="K75" s="4">
        <v>364.09399999999999</v>
      </c>
      <c r="L75" s="4">
        <v>406.75200000000001</v>
      </c>
      <c r="M75" s="4">
        <v>401.661</v>
      </c>
      <c r="N75" s="4">
        <v>470.03500000000003</v>
      </c>
      <c r="O75" s="4">
        <v>468.49900000000002</v>
      </c>
      <c r="P75" s="52">
        <f t="shared" si="2"/>
        <v>484.65978635689544</v>
      </c>
    </row>
    <row r="76" spans="2:16" x14ac:dyDescent="0.35">
      <c r="B76" s="8" t="s">
        <v>159</v>
      </c>
      <c r="C76" s="4">
        <v>0</v>
      </c>
      <c r="D76" s="4">
        <v>0</v>
      </c>
      <c r="E76" s="4">
        <v>0</v>
      </c>
      <c r="F76" s="4">
        <v>0</v>
      </c>
      <c r="G76" s="4">
        <v>0</v>
      </c>
      <c r="H76" s="4">
        <v>0</v>
      </c>
      <c r="I76" s="4">
        <v>0</v>
      </c>
      <c r="J76" s="4">
        <v>0</v>
      </c>
      <c r="K76" s="4">
        <v>0</v>
      </c>
      <c r="L76" s="4">
        <v>0</v>
      </c>
      <c r="M76" s="4">
        <v>0</v>
      </c>
      <c r="N76" s="4">
        <v>0</v>
      </c>
      <c r="O76" s="4">
        <v>0</v>
      </c>
      <c r="P76" s="52">
        <f t="shared" si="2"/>
        <v>0</v>
      </c>
    </row>
    <row r="77" spans="2:16" x14ac:dyDescent="0.35">
      <c r="B77" s="8" t="s">
        <v>160</v>
      </c>
      <c r="C77" s="4">
        <v>0</v>
      </c>
      <c r="D77" s="4">
        <v>0</v>
      </c>
      <c r="E77" s="4">
        <v>0</v>
      </c>
      <c r="F77" s="4">
        <v>0</v>
      </c>
      <c r="G77" s="4">
        <v>0</v>
      </c>
      <c r="H77" s="4">
        <v>0</v>
      </c>
      <c r="I77" s="4">
        <v>0</v>
      </c>
      <c r="J77" s="4">
        <v>0</v>
      </c>
      <c r="K77" s="4">
        <v>0</v>
      </c>
      <c r="L77" s="4">
        <v>0</v>
      </c>
      <c r="M77" s="4">
        <v>0</v>
      </c>
      <c r="N77" s="4">
        <v>0</v>
      </c>
      <c r="O77" s="4">
        <v>0</v>
      </c>
      <c r="P77" s="52">
        <f t="shared" si="2"/>
        <v>0</v>
      </c>
    </row>
    <row r="78" spans="2:16" x14ac:dyDescent="0.35">
      <c r="B78" s="8" t="s">
        <v>161</v>
      </c>
      <c r="C78" s="4">
        <v>269.31299999999999</v>
      </c>
      <c r="D78" s="4">
        <v>333.31400000000002</v>
      </c>
      <c r="E78" s="4">
        <v>390.178</v>
      </c>
      <c r="F78" s="4">
        <v>647.10699999999997</v>
      </c>
      <c r="G78" s="4">
        <v>590.97</v>
      </c>
      <c r="H78" s="4">
        <v>605.12599999999998</v>
      </c>
      <c r="I78" s="4">
        <v>820.40200000000004</v>
      </c>
      <c r="J78" s="4">
        <v>879.50800000000004</v>
      </c>
      <c r="K78" s="4">
        <v>923.87300000000005</v>
      </c>
      <c r="L78" s="4">
        <v>777.37300000000005</v>
      </c>
      <c r="M78" s="4">
        <v>855.59299999999996</v>
      </c>
      <c r="N78" s="4">
        <v>883.39099999999996</v>
      </c>
      <c r="O78" s="4">
        <v>774.47400000000005</v>
      </c>
      <c r="P78" s="52">
        <f t="shared" si="2"/>
        <v>1139.3063152632467</v>
      </c>
    </row>
    <row r="79" spans="2:16" x14ac:dyDescent="0.35">
      <c r="B79" s="6" t="s">
        <v>218</v>
      </c>
      <c r="C79" s="4">
        <v>0</v>
      </c>
      <c r="D79" s="4">
        <v>0</v>
      </c>
      <c r="E79" s="4">
        <v>0</v>
      </c>
      <c r="F79" s="4">
        <v>0</v>
      </c>
      <c r="G79" s="4">
        <v>0</v>
      </c>
      <c r="H79" s="4">
        <v>0</v>
      </c>
      <c r="I79" s="4">
        <v>0</v>
      </c>
      <c r="J79" s="4">
        <v>0</v>
      </c>
      <c r="K79" s="4">
        <v>0</v>
      </c>
      <c r="L79" s="4">
        <v>0</v>
      </c>
      <c r="M79" s="4">
        <v>0</v>
      </c>
      <c r="N79" s="4">
        <v>0</v>
      </c>
      <c r="O79" s="4">
        <v>0</v>
      </c>
      <c r="P79" s="52">
        <f t="shared" si="2"/>
        <v>0</v>
      </c>
    </row>
    <row r="80" spans="2:16" x14ac:dyDescent="0.35">
      <c r="B80" s="6" t="s">
        <v>219</v>
      </c>
      <c r="C80" s="4">
        <v>1146.6590000000001</v>
      </c>
      <c r="D80" s="4">
        <v>1540.1980000000001</v>
      </c>
      <c r="E80" s="4">
        <v>1507.373</v>
      </c>
      <c r="F80" s="4">
        <v>1455.921</v>
      </c>
      <c r="G80" s="4">
        <v>1401.0429999999999</v>
      </c>
      <c r="H80" s="4">
        <v>1372.62</v>
      </c>
      <c r="I80" s="4">
        <v>1359.5920000000001</v>
      </c>
      <c r="J80" s="4">
        <v>1385.193</v>
      </c>
      <c r="K80" s="4">
        <v>1488.9459999999999</v>
      </c>
      <c r="L80" s="4">
        <v>1585.961</v>
      </c>
      <c r="M80" s="4">
        <v>1645.6959999999999</v>
      </c>
      <c r="N80" s="4">
        <v>2459.1210000000001</v>
      </c>
      <c r="O80" s="4">
        <v>2828.1590000000001</v>
      </c>
      <c r="P80" s="52">
        <f t="shared" si="2"/>
        <v>1988.6849793746253</v>
      </c>
    </row>
    <row r="81" spans="2:17" x14ac:dyDescent="0.35">
      <c r="B81" s="8" t="s">
        <v>164</v>
      </c>
      <c r="C81" s="4">
        <v>330.471</v>
      </c>
      <c r="D81" s="4">
        <v>645.70100000000002</v>
      </c>
      <c r="E81" s="4">
        <v>546.65499999999997</v>
      </c>
      <c r="F81" s="4">
        <v>465.49</v>
      </c>
      <c r="G81" s="4">
        <v>333.55799999999999</v>
      </c>
      <c r="H81" s="4">
        <v>241.69900000000001</v>
      </c>
      <c r="I81" s="4">
        <v>178.339</v>
      </c>
      <c r="J81" s="4">
        <v>139.67500000000001</v>
      </c>
      <c r="K81" s="4">
        <v>166.06100000000001</v>
      </c>
      <c r="L81" s="4">
        <v>169.43799999999999</v>
      </c>
      <c r="M81" s="4">
        <v>159.55799999999999</v>
      </c>
      <c r="N81" s="4">
        <v>897.33199999999999</v>
      </c>
      <c r="O81" s="4">
        <v>1912.9680000000001</v>
      </c>
      <c r="P81" s="52">
        <f t="shared" si="2"/>
        <v>217.56852106034756</v>
      </c>
    </row>
    <row r="82" spans="2:17" x14ac:dyDescent="0.35">
      <c r="B82" s="8" t="s">
        <v>165</v>
      </c>
      <c r="C82" s="4">
        <v>795.98199999999997</v>
      </c>
      <c r="D82" s="4">
        <v>873.48299999999995</v>
      </c>
      <c r="E82" s="4">
        <v>938.89599999999996</v>
      </c>
      <c r="F82" s="4">
        <v>990.43100000000004</v>
      </c>
      <c r="G82" s="4">
        <v>1067.4849999999999</v>
      </c>
      <c r="H82" s="4">
        <v>1130.921</v>
      </c>
      <c r="I82" s="4">
        <v>1181.2529999999999</v>
      </c>
      <c r="J82" s="4">
        <v>1245.518</v>
      </c>
      <c r="K82" s="4">
        <v>1322.885</v>
      </c>
      <c r="L82" s="4">
        <v>1416.5229999999999</v>
      </c>
      <c r="M82" s="4">
        <v>1486.1379999999999</v>
      </c>
      <c r="N82" s="4">
        <v>1561.789</v>
      </c>
      <c r="O82" s="4">
        <v>915.19100000000003</v>
      </c>
      <c r="P82" s="52">
        <f t="shared" si="2"/>
        <v>1771.1164583142784</v>
      </c>
    </row>
    <row r="83" spans="2:17" x14ac:dyDescent="0.35">
      <c r="B83" s="8" t="s">
        <v>166</v>
      </c>
      <c r="C83" s="4">
        <v>20.206</v>
      </c>
      <c r="D83" s="4">
        <v>21.013999999999999</v>
      </c>
      <c r="E83" s="4">
        <v>21.821999999999999</v>
      </c>
      <c r="F83" s="4">
        <v>0</v>
      </c>
      <c r="G83" s="4">
        <v>0</v>
      </c>
      <c r="H83" s="4">
        <v>0</v>
      </c>
      <c r="I83" s="4">
        <v>0</v>
      </c>
      <c r="J83" s="4">
        <v>0</v>
      </c>
      <c r="K83" s="4">
        <v>0</v>
      </c>
      <c r="L83" s="4">
        <v>0</v>
      </c>
      <c r="M83" s="4">
        <v>0</v>
      </c>
      <c r="N83" s="4">
        <v>0</v>
      </c>
      <c r="O83" s="4">
        <v>0</v>
      </c>
      <c r="P83" s="52">
        <f t="shared" si="2"/>
        <v>0</v>
      </c>
    </row>
    <row r="84" spans="2:17" x14ac:dyDescent="0.35">
      <c r="B84" s="24" t="s">
        <v>220</v>
      </c>
      <c r="C84" s="10">
        <v>0</v>
      </c>
      <c r="D84" s="10">
        <v>0</v>
      </c>
      <c r="E84" s="10">
        <v>0</v>
      </c>
      <c r="F84" s="10">
        <v>0</v>
      </c>
      <c r="G84" s="10">
        <v>0</v>
      </c>
      <c r="H84" s="10">
        <v>0</v>
      </c>
      <c r="I84" s="10">
        <v>0</v>
      </c>
      <c r="J84" s="10">
        <v>0</v>
      </c>
      <c r="K84" s="10">
        <v>0</v>
      </c>
      <c r="L84" s="10">
        <v>0</v>
      </c>
      <c r="M84" s="10">
        <v>0</v>
      </c>
      <c r="N84" s="10">
        <v>0</v>
      </c>
      <c r="O84" s="10">
        <v>0</v>
      </c>
      <c r="P84" s="52">
        <f t="shared" si="2"/>
        <v>0</v>
      </c>
    </row>
    <row r="86" spans="2:17" x14ac:dyDescent="0.35">
      <c r="B86" s="13" t="s">
        <v>168</v>
      </c>
    </row>
    <row r="87" spans="2:17" x14ac:dyDescent="0.35">
      <c r="B87" s="2" t="s">
        <v>169</v>
      </c>
    </row>
    <row r="88" spans="2:17" x14ac:dyDescent="0.35">
      <c r="B88" s="2" t="s">
        <v>170</v>
      </c>
    </row>
    <row r="89" spans="2:17" x14ac:dyDescent="0.35">
      <c r="B89" s="2" t="s">
        <v>171</v>
      </c>
    </row>
    <row r="91" spans="2:17" x14ac:dyDescent="0.35">
      <c r="B91" s="2" t="s">
        <v>539</v>
      </c>
    </row>
    <row r="94" spans="2:17" x14ac:dyDescent="0.35">
      <c r="B94" s="2" t="s">
        <v>871</v>
      </c>
      <c r="C94" s="4">
        <v>5283993</v>
      </c>
      <c r="D94" s="4">
        <v>5559983</v>
      </c>
      <c r="E94" s="4">
        <v>5639475</v>
      </c>
      <c r="F94" s="4">
        <v>5667111</v>
      </c>
      <c r="G94" s="4">
        <v>5729512</v>
      </c>
      <c r="H94" s="4">
        <v>5885690</v>
      </c>
      <c r="I94" s="4">
        <v>6059526</v>
      </c>
      <c r="J94" s="4">
        <v>6238657</v>
      </c>
      <c r="K94" s="4">
        <v>6418502</v>
      </c>
      <c r="L94" s="4">
        <v>6749939</v>
      </c>
      <c r="M94" s="4">
        <v>7134286</v>
      </c>
      <c r="N94" s="4">
        <v>8920773</v>
      </c>
      <c r="O94" s="4">
        <v>9352851</v>
      </c>
      <c r="P94" s="4">
        <v>8691674</v>
      </c>
    </row>
    <row r="96" spans="2:17" x14ac:dyDescent="0.35">
      <c r="B96" s="2" t="s">
        <v>173</v>
      </c>
      <c r="C96" s="66">
        <f>C6/C$94*100</f>
        <v>0.27000149318895772</v>
      </c>
      <c r="D96" s="66">
        <f t="shared" ref="D96:O96" si="3">D6/D$94*100</f>
        <v>0.25791350441179406</v>
      </c>
      <c r="E96" s="66">
        <f t="shared" si="3"/>
        <v>0.25515249203161644</v>
      </c>
      <c r="F96" s="66">
        <f t="shared" si="3"/>
        <v>0.26132200339820411</v>
      </c>
      <c r="G96" s="66">
        <f t="shared" si="3"/>
        <v>0.25698415502053229</v>
      </c>
      <c r="H96" s="66">
        <f t="shared" si="3"/>
        <v>0.27200158350167952</v>
      </c>
      <c r="I96" s="66">
        <f t="shared" si="3"/>
        <v>0.26541551269851804</v>
      </c>
      <c r="J96" s="66">
        <f t="shared" si="3"/>
        <v>0.2599553718051818</v>
      </c>
      <c r="K96" s="66">
        <f t="shared" si="3"/>
        <v>0.26145056899569402</v>
      </c>
      <c r="L96" s="66">
        <f t="shared" si="3"/>
        <v>0.26337763941274139</v>
      </c>
      <c r="M96" s="66">
        <f t="shared" si="3"/>
        <v>0.26218726022477934</v>
      </c>
      <c r="N96" s="66">
        <f t="shared" si="3"/>
        <v>0.22217339237306002</v>
      </c>
      <c r="O96" s="66">
        <f t="shared" si="3"/>
        <v>0.23394715686158155</v>
      </c>
      <c r="P96" s="101">
        <f>AVERAGE(I96:M96)</f>
        <v>0.26247727062738291</v>
      </c>
      <c r="Q96" s="2" t="s">
        <v>872</v>
      </c>
    </row>
    <row r="97" spans="2:16" x14ac:dyDescent="0.35">
      <c r="B97" s="2" t="s">
        <v>174</v>
      </c>
      <c r="C97" s="66">
        <f t="shared" ref="C97:O160" si="4">C7/C$94*100</f>
        <v>0</v>
      </c>
      <c r="D97" s="66">
        <f t="shared" si="4"/>
        <v>0</v>
      </c>
      <c r="E97" s="66">
        <f t="shared" si="4"/>
        <v>0</v>
      </c>
      <c r="F97" s="66">
        <f t="shared" si="4"/>
        <v>0</v>
      </c>
      <c r="G97" s="66">
        <f t="shared" si="4"/>
        <v>0</v>
      </c>
      <c r="H97" s="66">
        <f t="shared" si="4"/>
        <v>0</v>
      </c>
      <c r="I97" s="66">
        <f t="shared" si="4"/>
        <v>0</v>
      </c>
      <c r="J97" s="66">
        <f t="shared" si="4"/>
        <v>0</v>
      </c>
      <c r="K97" s="66">
        <f t="shared" si="4"/>
        <v>0</v>
      </c>
      <c r="L97" s="66">
        <f t="shared" si="4"/>
        <v>0</v>
      </c>
      <c r="M97" s="66">
        <f t="shared" si="4"/>
        <v>0</v>
      </c>
      <c r="N97" s="66">
        <f t="shared" si="4"/>
        <v>0</v>
      </c>
      <c r="O97" s="66">
        <f t="shared" si="4"/>
        <v>0</v>
      </c>
      <c r="P97" s="101">
        <f t="shared" ref="P97:P160" si="5">AVERAGE(I97:M97)</f>
        <v>0</v>
      </c>
    </row>
    <row r="98" spans="2:16" x14ac:dyDescent="0.35">
      <c r="B98" s="6" t="s">
        <v>175</v>
      </c>
      <c r="C98" s="66">
        <f t="shared" si="4"/>
        <v>6.6237786461866995E-6</v>
      </c>
      <c r="D98" s="66">
        <f t="shared" si="4"/>
        <v>6.0251982784839449E-6</v>
      </c>
      <c r="E98" s="66">
        <f t="shared" si="4"/>
        <v>6.2771800566542096E-6</v>
      </c>
      <c r="F98" s="66">
        <f t="shared" si="4"/>
        <v>6.5288998221492394E-6</v>
      </c>
      <c r="G98" s="66">
        <f t="shared" si="4"/>
        <v>6.6672344869859779E-6</v>
      </c>
      <c r="H98" s="66">
        <f t="shared" si="4"/>
        <v>6.5582794880464315E-6</v>
      </c>
      <c r="I98" s="66">
        <f t="shared" si="4"/>
        <v>6.3041234578414224E-6</v>
      </c>
      <c r="J98" s="66">
        <f t="shared" si="4"/>
        <v>6.1231127148038436E-6</v>
      </c>
      <c r="K98" s="66">
        <f t="shared" si="4"/>
        <v>5.9515444569464967E-6</v>
      </c>
      <c r="L98" s="66">
        <f t="shared" si="4"/>
        <v>5.6593104026569727E-6</v>
      </c>
      <c r="M98" s="66">
        <f t="shared" si="4"/>
        <v>5.6347614883956159E-6</v>
      </c>
      <c r="N98" s="66">
        <f t="shared" si="4"/>
        <v>4.5063359419637738E-6</v>
      </c>
      <c r="O98" s="66">
        <f t="shared" si="4"/>
        <v>4.2981546482457603E-6</v>
      </c>
      <c r="P98" s="101">
        <f t="shared" si="5"/>
        <v>5.9345705041288698E-6</v>
      </c>
    </row>
    <row r="99" spans="2:16" x14ac:dyDescent="0.35">
      <c r="B99" s="6" t="s">
        <v>176</v>
      </c>
      <c r="C99" s="66">
        <f t="shared" si="4"/>
        <v>0.26999486941031148</v>
      </c>
      <c r="D99" s="66">
        <f t="shared" si="4"/>
        <v>0.25790747921351559</v>
      </c>
      <c r="E99" s="66">
        <f t="shared" si="4"/>
        <v>0.25514621485155975</v>
      </c>
      <c r="F99" s="66">
        <f t="shared" si="4"/>
        <v>0.26131547449838199</v>
      </c>
      <c r="G99" s="66">
        <f t="shared" si="4"/>
        <v>0.25697748778604529</v>
      </c>
      <c r="H99" s="66">
        <f t="shared" si="4"/>
        <v>0.27199502522219143</v>
      </c>
      <c r="I99" s="66">
        <f t="shared" si="4"/>
        <v>0.26540920857506017</v>
      </c>
      <c r="J99" s="66">
        <f t="shared" si="4"/>
        <v>0.25994924869246699</v>
      </c>
      <c r="K99" s="66">
        <f t="shared" si="4"/>
        <v>0.26144461745123709</v>
      </c>
      <c r="L99" s="66">
        <f t="shared" si="4"/>
        <v>0.2633719801023387</v>
      </c>
      <c r="M99" s="66">
        <f t="shared" si="4"/>
        <v>0.26218162546329093</v>
      </c>
      <c r="N99" s="66">
        <f t="shared" si="4"/>
        <v>0.2221688860371181</v>
      </c>
      <c r="O99" s="66">
        <f t="shared" si="4"/>
        <v>0.23394285870693335</v>
      </c>
      <c r="P99" s="101">
        <f t="shared" si="5"/>
        <v>0.26247133605687878</v>
      </c>
    </row>
    <row r="100" spans="2:16" x14ac:dyDescent="0.35">
      <c r="B100" s="8" t="s">
        <v>177</v>
      </c>
      <c r="C100" s="66">
        <f t="shared" si="4"/>
        <v>0.20367012219736097</v>
      </c>
      <c r="D100" s="66">
        <f t="shared" si="4"/>
        <v>0.18855300456853913</v>
      </c>
      <c r="E100" s="66">
        <f t="shared" si="4"/>
        <v>0.18729282424339147</v>
      </c>
      <c r="F100" s="66">
        <f t="shared" si="4"/>
        <v>0.18831224586919154</v>
      </c>
      <c r="G100" s="66">
        <f t="shared" si="4"/>
        <v>0.18841222428716442</v>
      </c>
      <c r="H100" s="66">
        <f t="shared" si="4"/>
        <v>0.20387929027862492</v>
      </c>
      <c r="I100" s="66">
        <f t="shared" si="4"/>
        <v>0.19443217175732888</v>
      </c>
      <c r="J100" s="66">
        <f t="shared" si="4"/>
        <v>0.19299002974518395</v>
      </c>
      <c r="K100" s="66">
        <f t="shared" si="4"/>
        <v>0.19390189486581136</v>
      </c>
      <c r="L100" s="66">
        <f t="shared" si="4"/>
        <v>0.19421790330253355</v>
      </c>
      <c r="M100" s="66">
        <f t="shared" si="4"/>
        <v>0.1901538289886332</v>
      </c>
      <c r="N100" s="66">
        <f t="shared" si="4"/>
        <v>0.15848214050508852</v>
      </c>
      <c r="O100" s="66">
        <f t="shared" si="4"/>
        <v>0.17024732886261096</v>
      </c>
      <c r="P100" s="101">
        <f t="shared" si="5"/>
        <v>0.19313916573189818</v>
      </c>
    </row>
    <row r="101" spans="2:16" x14ac:dyDescent="0.35">
      <c r="B101" s="8" t="s">
        <v>178</v>
      </c>
      <c r="C101" s="66">
        <f t="shared" si="4"/>
        <v>3.028688720821545E-2</v>
      </c>
      <c r="D101" s="66">
        <f t="shared" si="4"/>
        <v>3.0490237110437208E-2</v>
      </c>
      <c r="E101" s="66">
        <f t="shared" si="4"/>
        <v>2.8969983908076553E-2</v>
      </c>
      <c r="F101" s="66">
        <f t="shared" si="4"/>
        <v>3.4436470363823829E-2</v>
      </c>
      <c r="G101" s="66">
        <f t="shared" si="4"/>
        <v>3.1388921080887866E-2</v>
      </c>
      <c r="H101" s="66">
        <f t="shared" si="4"/>
        <v>3.1411983981487299E-2</v>
      </c>
      <c r="I101" s="66">
        <f t="shared" si="4"/>
        <v>3.6025260061595579E-2</v>
      </c>
      <c r="J101" s="66">
        <f t="shared" si="4"/>
        <v>3.6532910849242074E-2</v>
      </c>
      <c r="K101" s="66">
        <f t="shared" si="4"/>
        <v>3.6172957490704219E-2</v>
      </c>
      <c r="L101" s="66">
        <f t="shared" si="4"/>
        <v>3.8256864247217644E-2</v>
      </c>
      <c r="M101" s="66">
        <f t="shared" si="4"/>
        <v>4.1234722017031558E-2</v>
      </c>
      <c r="N101" s="66">
        <f t="shared" si="4"/>
        <v>2.9828155026475848E-2</v>
      </c>
      <c r="O101" s="66">
        <f t="shared" si="4"/>
        <v>2.6908479564145733E-2</v>
      </c>
      <c r="P101" s="101">
        <f t="shared" si="5"/>
        <v>3.764454293315822E-2</v>
      </c>
    </row>
    <row r="102" spans="2:16" x14ac:dyDescent="0.35">
      <c r="B102" s="20" t="s">
        <v>179</v>
      </c>
      <c r="C102" s="66">
        <f t="shared" si="4"/>
        <v>2.3708377357804979E-2</v>
      </c>
      <c r="D102" s="66">
        <f t="shared" si="4"/>
        <v>2.5161335924947969E-2</v>
      </c>
      <c r="E102" s="66">
        <f t="shared" si="4"/>
        <v>2.4885933531046768E-2</v>
      </c>
      <c r="F102" s="66">
        <f t="shared" si="4"/>
        <v>3.0147124346073334E-2</v>
      </c>
      <c r="G102" s="66">
        <f t="shared" si="4"/>
        <v>2.6491383559367709E-2</v>
      </c>
      <c r="H102" s="66">
        <f t="shared" si="4"/>
        <v>2.7116701695128354E-2</v>
      </c>
      <c r="I102" s="66">
        <f t="shared" si="4"/>
        <v>2.9881842243106145E-2</v>
      </c>
      <c r="J102" s="66">
        <f t="shared" si="4"/>
        <v>2.2577279052206269E-2</v>
      </c>
      <c r="K102" s="66">
        <f t="shared" si="4"/>
        <v>2.3409854822823144E-2</v>
      </c>
      <c r="L102" s="66">
        <f t="shared" si="4"/>
        <v>2.4859157986464767E-2</v>
      </c>
      <c r="M102" s="66">
        <f t="shared" si="4"/>
        <v>2.8234668472780597E-2</v>
      </c>
      <c r="N102" s="66">
        <f t="shared" si="4"/>
        <v>2.030793743995055E-2</v>
      </c>
      <c r="O102" s="66">
        <f t="shared" si="4"/>
        <v>1.8065935189173869E-2</v>
      </c>
      <c r="P102" s="101">
        <f t="shared" si="5"/>
        <v>2.5792560515476182E-2</v>
      </c>
    </row>
    <row r="103" spans="2:16" x14ac:dyDescent="0.35">
      <c r="B103" s="20" t="s">
        <v>180</v>
      </c>
      <c r="C103" s="66">
        <f t="shared" si="4"/>
        <v>6.5785098504104753E-3</v>
      </c>
      <c r="D103" s="66">
        <f t="shared" si="4"/>
        <v>5.3289011854892364E-3</v>
      </c>
      <c r="E103" s="66">
        <f t="shared" si="4"/>
        <v>4.084050377029776E-3</v>
      </c>
      <c r="F103" s="66">
        <f t="shared" si="4"/>
        <v>4.2893460177504906E-3</v>
      </c>
      <c r="G103" s="66">
        <f t="shared" si="4"/>
        <v>4.8975375215201582E-3</v>
      </c>
      <c r="H103" s="66">
        <f t="shared" si="4"/>
        <v>4.2952822863589488E-3</v>
      </c>
      <c r="I103" s="66">
        <f t="shared" si="4"/>
        <v>6.1434178184894325E-3</v>
      </c>
      <c r="J103" s="66">
        <f t="shared" si="4"/>
        <v>1.3955631797035805E-2</v>
      </c>
      <c r="K103" s="66">
        <f t="shared" si="4"/>
        <v>1.2763102667881073E-2</v>
      </c>
      <c r="L103" s="66">
        <f t="shared" si="4"/>
        <v>1.3397706260752875E-2</v>
      </c>
      <c r="M103" s="66">
        <f t="shared" si="4"/>
        <v>1.300005354425096E-2</v>
      </c>
      <c r="N103" s="66">
        <f t="shared" si="4"/>
        <v>9.5202175865252946E-3</v>
      </c>
      <c r="O103" s="66">
        <f t="shared" si="4"/>
        <v>8.8425443749718668E-3</v>
      </c>
      <c r="P103" s="101">
        <f t="shared" si="5"/>
        <v>1.1851982417682028E-2</v>
      </c>
    </row>
    <row r="104" spans="2:16" x14ac:dyDescent="0.35">
      <c r="B104" s="6" t="s">
        <v>181</v>
      </c>
      <c r="C104" s="66">
        <f t="shared" si="4"/>
        <v>2.3664300842185068E-3</v>
      </c>
      <c r="D104" s="66">
        <f t="shared" si="4"/>
        <v>2.1936757720302383E-3</v>
      </c>
      <c r="E104" s="66">
        <f t="shared" si="4"/>
        <v>2.2201712038797936E-3</v>
      </c>
      <c r="F104" s="66">
        <f t="shared" si="4"/>
        <v>3.2089542625863511E-3</v>
      </c>
      <c r="G104" s="66">
        <f t="shared" si="4"/>
        <v>3.1618399612392814E-3</v>
      </c>
      <c r="H104" s="66">
        <f t="shared" si="4"/>
        <v>3.2148652069680875E-3</v>
      </c>
      <c r="I104" s="66">
        <f t="shared" si="4"/>
        <v>3.6492953409227057E-3</v>
      </c>
      <c r="J104" s="66">
        <f t="shared" si="4"/>
        <v>2.9007685468202529E-3</v>
      </c>
      <c r="K104" s="66">
        <f t="shared" si="4"/>
        <v>2.5138420148501941E-3</v>
      </c>
      <c r="L104" s="66">
        <f t="shared" si="4"/>
        <v>2.0658557062515673E-3</v>
      </c>
      <c r="M104" s="66">
        <f t="shared" si="4"/>
        <v>2.0697516191529189E-3</v>
      </c>
      <c r="N104" s="66">
        <f t="shared" si="4"/>
        <v>1.6745409842846581E-3</v>
      </c>
      <c r="O104" s="66">
        <f t="shared" si="4"/>
        <v>1.7514873272331613E-3</v>
      </c>
      <c r="P104" s="101">
        <f t="shared" si="5"/>
        <v>2.6399026455995282E-3</v>
      </c>
    </row>
    <row r="105" spans="2:16" x14ac:dyDescent="0.35">
      <c r="B105" s="6" t="s">
        <v>182</v>
      </c>
      <c r="C105" s="66">
        <f t="shared" si="4"/>
        <v>1.1970814495779991E-2</v>
      </c>
      <c r="D105" s="66">
        <f t="shared" si="4"/>
        <v>8.9690741860181944E-3</v>
      </c>
      <c r="E105" s="66">
        <f t="shared" si="4"/>
        <v>9.9342757969491848E-3</v>
      </c>
      <c r="F105" s="66">
        <f t="shared" si="4"/>
        <v>9.66709492720365E-3</v>
      </c>
      <c r="G105" s="66">
        <f t="shared" si="4"/>
        <v>9.5614076731142198E-3</v>
      </c>
      <c r="H105" s="66">
        <f t="shared" si="4"/>
        <v>1.0167575934172545E-2</v>
      </c>
      <c r="I105" s="66">
        <f t="shared" si="4"/>
        <v>8.8652148699419741E-3</v>
      </c>
      <c r="J105" s="66">
        <f t="shared" si="4"/>
        <v>5.322155072798521E-3</v>
      </c>
      <c r="K105" s="66">
        <f t="shared" si="4"/>
        <v>5.6582049830318669E-3</v>
      </c>
      <c r="L105" s="66">
        <f t="shared" si="4"/>
        <v>5.3354259942200956E-3</v>
      </c>
      <c r="M105" s="66">
        <f t="shared" si="4"/>
        <v>5.6558988523869097E-3</v>
      </c>
      <c r="N105" s="66">
        <f t="shared" si="4"/>
        <v>4.6178173124683253E-3</v>
      </c>
      <c r="O105" s="66">
        <f t="shared" si="4"/>
        <v>4.797093421032796E-3</v>
      </c>
      <c r="P105" s="101">
        <f t="shared" si="5"/>
        <v>6.1673799544758739E-3</v>
      </c>
    </row>
    <row r="106" spans="2:16" x14ac:dyDescent="0.35">
      <c r="B106" s="6" t="s">
        <v>183</v>
      </c>
      <c r="C106" s="66">
        <f t="shared" si="4"/>
        <v>2.1700615424736558E-2</v>
      </c>
      <c r="D106" s="66">
        <f t="shared" si="4"/>
        <v>2.7701487576490793E-2</v>
      </c>
      <c r="E106" s="66">
        <f t="shared" si="4"/>
        <v>2.672895969926279E-2</v>
      </c>
      <c r="F106" s="66">
        <f t="shared" si="4"/>
        <v>2.5690709075576603E-2</v>
      </c>
      <c r="G106" s="66">
        <f t="shared" si="4"/>
        <v>2.4453094783639513E-2</v>
      </c>
      <c r="H106" s="66">
        <f t="shared" si="4"/>
        <v>2.3321309820938579E-2</v>
      </c>
      <c r="I106" s="66">
        <f t="shared" si="4"/>
        <v>2.2437266545271034E-2</v>
      </c>
      <c r="J106" s="66">
        <f t="shared" si="4"/>
        <v>2.2203384478422201E-2</v>
      </c>
      <c r="K106" s="66">
        <f t="shared" si="4"/>
        <v>2.3197718096839418E-2</v>
      </c>
      <c r="L106" s="66">
        <f t="shared" si="4"/>
        <v>2.3495930852115848E-2</v>
      </c>
      <c r="M106" s="66">
        <f t="shared" si="4"/>
        <v>2.3067423986086341E-2</v>
      </c>
      <c r="N106" s="66">
        <f t="shared" si="4"/>
        <v>2.756623220880074E-2</v>
      </c>
      <c r="O106" s="66">
        <f t="shared" si="4"/>
        <v>3.0238469531910644E-2</v>
      </c>
      <c r="P106" s="101">
        <f t="shared" si="5"/>
        <v>2.2880344791746967E-2</v>
      </c>
    </row>
    <row r="107" spans="2:16" x14ac:dyDescent="0.35">
      <c r="B107" s="6" t="s">
        <v>184</v>
      </c>
      <c r="C107" s="66">
        <f t="shared" si="4"/>
        <v>7.0281470849791056E-2</v>
      </c>
      <c r="D107" s="66">
        <f t="shared" si="4"/>
        <v>6.0342414716016216E-2</v>
      </c>
      <c r="E107" s="66">
        <f t="shared" si="4"/>
        <v>5.2243710629092249E-2</v>
      </c>
      <c r="F107" s="66">
        <f t="shared" si="4"/>
        <v>5.4438566670036992E-2</v>
      </c>
      <c r="G107" s="66">
        <f t="shared" si="4"/>
        <v>6.6118074279275449E-2</v>
      </c>
      <c r="H107" s="66">
        <f t="shared" si="4"/>
        <v>6.8448321267345028E-2</v>
      </c>
      <c r="I107" s="66">
        <f t="shared" si="4"/>
        <v>6.8889794350251166E-2</v>
      </c>
      <c r="J107" s="66">
        <f t="shared" si="4"/>
        <v>6.9173862259136867E-2</v>
      </c>
      <c r="K107" s="66">
        <f t="shared" si="4"/>
        <v>6.9982435153872341E-2</v>
      </c>
      <c r="L107" s="66">
        <f t="shared" si="4"/>
        <v>6.5868950815703653E-2</v>
      </c>
      <c r="M107" s="66">
        <f t="shared" si="4"/>
        <v>6.6512934861316181E-2</v>
      </c>
      <c r="N107" s="66">
        <f t="shared" si="4"/>
        <v>5.5215394450682694E-2</v>
      </c>
      <c r="O107" s="66">
        <f t="shared" si="4"/>
        <v>5.3330797208252331E-2</v>
      </c>
      <c r="P107" s="101">
        <f t="shared" si="5"/>
        <v>6.8085595488056039E-2</v>
      </c>
    </row>
    <row r="108" spans="2:16" x14ac:dyDescent="0.35">
      <c r="B108" s="20"/>
      <c r="C108" s="66">
        <f t="shared" si="4"/>
        <v>0</v>
      </c>
      <c r="D108" s="66">
        <f t="shared" si="4"/>
        <v>0</v>
      </c>
      <c r="E108" s="66">
        <f t="shared" si="4"/>
        <v>0</v>
      </c>
      <c r="F108" s="66">
        <f t="shared" si="4"/>
        <v>0</v>
      </c>
      <c r="G108" s="66">
        <f t="shared" si="4"/>
        <v>0</v>
      </c>
      <c r="H108" s="66">
        <f t="shared" si="4"/>
        <v>0</v>
      </c>
      <c r="I108" s="66">
        <f t="shared" si="4"/>
        <v>0</v>
      </c>
      <c r="J108" s="66">
        <f t="shared" si="4"/>
        <v>0</v>
      </c>
      <c r="K108" s="66">
        <f t="shared" si="4"/>
        <v>0</v>
      </c>
      <c r="L108" s="66">
        <f t="shared" si="4"/>
        <v>0</v>
      </c>
      <c r="M108" s="66">
        <f t="shared" si="4"/>
        <v>0</v>
      </c>
      <c r="N108" s="66">
        <f t="shared" si="4"/>
        <v>0</v>
      </c>
      <c r="O108" s="66">
        <f t="shared" si="4"/>
        <v>0</v>
      </c>
      <c r="P108" s="101">
        <f t="shared" si="5"/>
        <v>0</v>
      </c>
    </row>
    <row r="109" spans="2:16" x14ac:dyDescent="0.35">
      <c r="B109" s="22" t="s">
        <v>185</v>
      </c>
      <c r="C109" s="66">
        <f t="shared" si="4"/>
        <v>0.26999486941031148</v>
      </c>
      <c r="D109" s="66">
        <f t="shared" si="4"/>
        <v>0.25790747921351559</v>
      </c>
      <c r="E109" s="66">
        <f t="shared" si="4"/>
        <v>0.25514621485155975</v>
      </c>
      <c r="F109" s="66">
        <f t="shared" si="4"/>
        <v>0.26131547449838199</v>
      </c>
      <c r="G109" s="66">
        <f t="shared" si="4"/>
        <v>0.25697748778604529</v>
      </c>
      <c r="H109" s="66">
        <f t="shared" si="4"/>
        <v>0.27199502522219143</v>
      </c>
      <c r="I109" s="66">
        <f t="shared" si="4"/>
        <v>0.26540920857506017</v>
      </c>
      <c r="J109" s="66">
        <f t="shared" si="4"/>
        <v>0.25994924869246699</v>
      </c>
      <c r="K109" s="66">
        <f t="shared" si="4"/>
        <v>0.26144461745123709</v>
      </c>
      <c r="L109" s="66">
        <f t="shared" si="4"/>
        <v>0.2633719801023387</v>
      </c>
      <c r="M109" s="66">
        <f t="shared" si="4"/>
        <v>0.26218162546329093</v>
      </c>
      <c r="N109" s="66">
        <f t="shared" si="4"/>
        <v>0.2221688860371181</v>
      </c>
      <c r="O109" s="66">
        <f t="shared" si="4"/>
        <v>0.23394285870693335</v>
      </c>
      <c r="P109" s="101">
        <f t="shared" si="5"/>
        <v>0.26247133605687878</v>
      </c>
    </row>
    <row r="110" spans="2:16" x14ac:dyDescent="0.35">
      <c r="B110" s="6" t="s">
        <v>186</v>
      </c>
      <c r="C110" s="66">
        <f t="shared" si="4"/>
        <v>0.2383789304792796</v>
      </c>
      <c r="D110" s="66">
        <f t="shared" si="4"/>
        <v>0.21944795514662546</v>
      </c>
      <c r="E110" s="66">
        <f t="shared" si="4"/>
        <v>0.21643298356673271</v>
      </c>
      <c r="F110" s="66">
        <f t="shared" si="4"/>
        <v>0.21908582697603768</v>
      </c>
      <c r="G110" s="66">
        <f t="shared" si="4"/>
        <v>0.21675629617321684</v>
      </c>
      <c r="H110" s="66">
        <f t="shared" si="4"/>
        <v>0.23304771403182975</v>
      </c>
      <c r="I110" s="66">
        <f t="shared" si="4"/>
        <v>0.22409739639701193</v>
      </c>
      <c r="J110" s="66">
        <f t="shared" si="4"/>
        <v>0.21843154704610304</v>
      </c>
      <c r="K110" s="66">
        <f t="shared" si="4"/>
        <v>0.21818042589999975</v>
      </c>
      <c r="L110" s="66">
        <f t="shared" si="4"/>
        <v>0.22233329812313857</v>
      </c>
      <c r="M110" s="66">
        <f t="shared" si="4"/>
        <v>0.22149149893906694</v>
      </c>
      <c r="N110" s="66">
        <f t="shared" si="4"/>
        <v>0.17943103136914257</v>
      </c>
      <c r="O110" s="66">
        <f t="shared" si="4"/>
        <v>0.19041461261384363</v>
      </c>
      <c r="P110" s="101">
        <f t="shared" si="5"/>
        <v>0.22090683328106406</v>
      </c>
    </row>
    <row r="111" spans="2:16" x14ac:dyDescent="0.35">
      <c r="B111" s="20" t="s">
        <v>178</v>
      </c>
      <c r="C111" s="66">
        <f t="shared" si="4"/>
        <v>2.8281528760541508E-2</v>
      </c>
      <c r="D111" s="66">
        <f t="shared" si="4"/>
        <v>2.7667368767134718E-2</v>
      </c>
      <c r="E111" s="66">
        <f t="shared" si="4"/>
        <v>2.5030255475908664E-2</v>
      </c>
      <c r="F111" s="66">
        <f t="shared" si="4"/>
        <v>2.6547159566841026E-2</v>
      </c>
      <c r="G111" s="66">
        <f t="shared" si="4"/>
        <v>2.4473288475528109E-2</v>
      </c>
      <c r="H111" s="66">
        <f t="shared" si="4"/>
        <v>2.4695711123079871E-2</v>
      </c>
      <c r="I111" s="66">
        <f t="shared" si="4"/>
        <v>2.6167756355860178E-2</v>
      </c>
      <c r="J111" s="66">
        <f t="shared" si="4"/>
        <v>2.5767997823890623E-2</v>
      </c>
      <c r="K111" s="66">
        <f t="shared" si="4"/>
        <v>2.4921095296067525E-2</v>
      </c>
      <c r="L111" s="66">
        <f t="shared" si="4"/>
        <v>2.9314398248636023E-2</v>
      </c>
      <c r="M111" s="66">
        <f t="shared" si="4"/>
        <v>3.2085116856823512E-2</v>
      </c>
      <c r="N111" s="66">
        <f t="shared" si="4"/>
        <v>2.1949700995642418E-2</v>
      </c>
      <c r="O111" s="66">
        <f t="shared" si="4"/>
        <v>2.0664436972213068E-2</v>
      </c>
      <c r="P111" s="101">
        <f t="shared" si="5"/>
        <v>2.7651272916255569E-2</v>
      </c>
    </row>
    <row r="112" spans="2:16" x14ac:dyDescent="0.35">
      <c r="B112" s="20" t="s">
        <v>187</v>
      </c>
      <c r="C112" s="66">
        <f t="shared" si="4"/>
        <v>0.21009740171873806</v>
      </c>
      <c r="D112" s="66">
        <f t="shared" si="4"/>
        <v>0.19178058637949075</v>
      </c>
      <c r="E112" s="66">
        <f t="shared" si="4"/>
        <v>0.19140272809082406</v>
      </c>
      <c r="F112" s="66">
        <f t="shared" si="4"/>
        <v>0.19253866740919665</v>
      </c>
      <c r="G112" s="66">
        <f t="shared" si="4"/>
        <v>0.19228300769768875</v>
      </c>
      <c r="H112" s="66">
        <f t="shared" si="4"/>
        <v>0.20835200290874986</v>
      </c>
      <c r="I112" s="66">
        <f t="shared" si="4"/>
        <v>0.19792964004115174</v>
      </c>
      <c r="J112" s="66">
        <f t="shared" si="4"/>
        <v>0.1926635492222124</v>
      </c>
      <c r="K112" s="66">
        <f t="shared" si="4"/>
        <v>0.19325933060393219</v>
      </c>
      <c r="L112" s="66">
        <f t="shared" si="4"/>
        <v>0.19301889987450258</v>
      </c>
      <c r="M112" s="66">
        <f t="shared" si="4"/>
        <v>0.18940638208224339</v>
      </c>
      <c r="N112" s="66">
        <f t="shared" si="4"/>
        <v>0.15748133037350012</v>
      </c>
      <c r="O112" s="66">
        <f t="shared" ref="D112:O127" si="6">O22/O$94*100</f>
        <v>0.16975017564163056</v>
      </c>
      <c r="P112" s="101">
        <f t="shared" si="5"/>
        <v>0.19325556036480845</v>
      </c>
    </row>
    <row r="113" spans="2:16" x14ac:dyDescent="0.35">
      <c r="B113" s="8" t="s">
        <v>188</v>
      </c>
      <c r="C113" s="66">
        <f t="shared" si="4"/>
        <v>0</v>
      </c>
      <c r="D113" s="66">
        <f t="shared" si="6"/>
        <v>0</v>
      </c>
      <c r="E113" s="66">
        <f t="shared" si="6"/>
        <v>0</v>
      </c>
      <c r="F113" s="66">
        <f t="shared" si="6"/>
        <v>0</v>
      </c>
      <c r="G113" s="66">
        <f t="shared" si="6"/>
        <v>0</v>
      </c>
      <c r="H113" s="66">
        <f t="shared" si="6"/>
        <v>0</v>
      </c>
      <c r="I113" s="66">
        <f t="shared" si="6"/>
        <v>0</v>
      </c>
      <c r="J113" s="66">
        <f t="shared" si="6"/>
        <v>0</v>
      </c>
      <c r="K113" s="66">
        <f t="shared" si="6"/>
        <v>0</v>
      </c>
      <c r="L113" s="66">
        <f t="shared" si="6"/>
        <v>0</v>
      </c>
      <c r="M113" s="66">
        <f t="shared" si="6"/>
        <v>0</v>
      </c>
      <c r="N113" s="66">
        <f t="shared" si="6"/>
        <v>0</v>
      </c>
      <c r="O113" s="66">
        <f t="shared" si="6"/>
        <v>0</v>
      </c>
      <c r="P113" s="101">
        <f t="shared" si="5"/>
        <v>0</v>
      </c>
    </row>
    <row r="114" spans="2:16" x14ac:dyDescent="0.35">
      <c r="B114" s="20" t="s">
        <v>138</v>
      </c>
      <c r="C114" s="66">
        <f t="shared" si="4"/>
        <v>6.7321739449692677E-2</v>
      </c>
      <c r="D114" s="66">
        <f t="shared" si="6"/>
        <v>5.8539495534428797E-2</v>
      </c>
      <c r="E114" s="66">
        <f t="shared" si="6"/>
        <v>5.9321124750087557E-2</v>
      </c>
      <c r="F114" s="66">
        <f t="shared" si="6"/>
        <v>6.1812323774847536E-2</v>
      </c>
      <c r="G114" s="66">
        <f t="shared" si="6"/>
        <v>5.9412389746282053E-2</v>
      </c>
      <c r="H114" s="66">
        <f t="shared" si="6"/>
        <v>5.75736064930365E-2</v>
      </c>
      <c r="I114" s="66">
        <f t="shared" si="6"/>
        <v>5.3346730420828298E-2</v>
      </c>
      <c r="J114" s="66">
        <f t="shared" si="6"/>
        <v>5.4277483118562217E-2</v>
      </c>
      <c r="K114" s="66">
        <f t="shared" si="6"/>
        <v>5.3121273468482208E-2</v>
      </c>
      <c r="L114" s="66">
        <f t="shared" si="6"/>
        <v>5.4196252736506211E-2</v>
      </c>
      <c r="M114" s="66">
        <f t="shared" si="6"/>
        <v>5.5699673380069148E-2</v>
      </c>
      <c r="N114" s="66">
        <f t="shared" si="6"/>
        <v>4.1681186148330419E-2</v>
      </c>
      <c r="O114" s="66">
        <f t="shared" si="6"/>
        <v>3.8671555871038682E-2</v>
      </c>
      <c r="P114" s="101">
        <f t="shared" si="5"/>
        <v>5.4128282624889626E-2</v>
      </c>
    </row>
    <row r="115" spans="2:16" x14ac:dyDescent="0.35">
      <c r="B115" s="23" t="s">
        <v>178</v>
      </c>
      <c r="C115" s="66">
        <f t="shared" si="4"/>
        <v>5.966680879403133E-3</v>
      </c>
      <c r="D115" s="66">
        <f t="shared" si="6"/>
        <v>6.8506684283027482E-3</v>
      </c>
      <c r="E115" s="66">
        <f t="shared" si="6"/>
        <v>7.3615540453676985E-3</v>
      </c>
      <c r="F115" s="66">
        <f t="shared" si="6"/>
        <v>1.0672404334413072E-2</v>
      </c>
      <c r="G115" s="66">
        <f t="shared" si="6"/>
        <v>8.5657382339019445E-3</v>
      </c>
      <c r="H115" s="66">
        <f t="shared" si="6"/>
        <v>6.8243315567078789E-3</v>
      </c>
      <c r="I115" s="66">
        <f t="shared" si="6"/>
        <v>5.2613191196803182E-3</v>
      </c>
      <c r="J115" s="66">
        <f t="shared" si="6"/>
        <v>5.8496083371789792E-3</v>
      </c>
      <c r="K115" s="66">
        <f t="shared" si="6"/>
        <v>5.8358944189781355E-3</v>
      </c>
      <c r="L115" s="66">
        <f t="shared" si="6"/>
        <v>7.3289403059790615E-3</v>
      </c>
      <c r="M115" s="66">
        <f t="shared" si="6"/>
        <v>9.5280733068452816E-3</v>
      </c>
      <c r="N115" s="66">
        <f t="shared" si="6"/>
        <v>4.4441328122574132E-3</v>
      </c>
      <c r="O115" s="66">
        <f t="shared" si="6"/>
        <v>3.9215635959559281E-3</v>
      </c>
      <c r="P115" s="101">
        <f t="shared" si="5"/>
        <v>6.7607670977323552E-3</v>
      </c>
    </row>
    <row r="116" spans="2:16" x14ac:dyDescent="0.35">
      <c r="B116" s="21" t="s">
        <v>189</v>
      </c>
      <c r="C116" s="66">
        <f t="shared" si="4"/>
        <v>2.1757050018802071E-2</v>
      </c>
      <c r="D116" s="66">
        <f t="shared" si="6"/>
        <v>1.9616534798757478E-2</v>
      </c>
      <c r="E116" s="66">
        <f t="shared" si="6"/>
        <v>2.326025028925565E-2</v>
      </c>
      <c r="F116" s="66">
        <f t="shared" si="6"/>
        <v>2.6587215249533672E-2</v>
      </c>
      <c r="G116" s="66">
        <f t="shared" si="6"/>
        <v>2.4623266344498448E-2</v>
      </c>
      <c r="H116" s="66">
        <f t="shared" si="6"/>
        <v>1.9260715396155762E-2</v>
      </c>
      <c r="I116" s="66">
        <f t="shared" si="6"/>
        <v>1.7861430085455529E-2</v>
      </c>
      <c r="J116" s="66">
        <f t="shared" si="6"/>
        <v>1.7796234029214944E-2</v>
      </c>
      <c r="K116" s="66">
        <f t="shared" si="6"/>
        <v>1.879898144458006E-2</v>
      </c>
      <c r="L116" s="66">
        <f t="shared" si="6"/>
        <v>1.8719828431042116E-2</v>
      </c>
      <c r="M116" s="66">
        <f t="shared" si="6"/>
        <v>2.0345946321748246E-2</v>
      </c>
      <c r="N116" s="66">
        <f t="shared" si="6"/>
        <v>1.5102323531828462E-2</v>
      </c>
      <c r="O116" s="66">
        <f t="shared" si="6"/>
        <v>1.3166958395894473E-2</v>
      </c>
      <c r="P116" s="101">
        <f t="shared" si="5"/>
        <v>1.8704484062408176E-2</v>
      </c>
    </row>
    <row r="117" spans="2:16" x14ac:dyDescent="0.35">
      <c r="B117" s="23" t="s">
        <v>178</v>
      </c>
      <c r="C117" s="66">
        <f t="shared" si="4"/>
        <v>2.7021231860072485E-3</v>
      </c>
      <c r="D117" s="66">
        <f t="shared" si="6"/>
        <v>3.1458009853627248E-3</v>
      </c>
      <c r="E117" s="66">
        <f t="shared" si="6"/>
        <v>4.4189929027081418E-3</v>
      </c>
      <c r="F117" s="66">
        <f t="shared" si="6"/>
        <v>7.3108855640907685E-3</v>
      </c>
      <c r="G117" s="66">
        <f t="shared" si="6"/>
        <v>5.3803884170239976E-3</v>
      </c>
      <c r="H117" s="66">
        <f t="shared" si="6"/>
        <v>3.1278575664025802E-3</v>
      </c>
      <c r="I117" s="66">
        <f t="shared" si="6"/>
        <v>2.1568188666902331E-3</v>
      </c>
      <c r="J117" s="66">
        <f t="shared" si="6"/>
        <v>1.9695745414437756E-3</v>
      </c>
      <c r="K117" s="66">
        <f t="shared" si="6"/>
        <v>2.7399383843769152E-3</v>
      </c>
      <c r="L117" s="66">
        <f t="shared" si="6"/>
        <v>2.6151791890267452E-3</v>
      </c>
      <c r="M117" s="66">
        <f t="shared" si="6"/>
        <v>5.1453782480825692E-3</v>
      </c>
      <c r="N117" s="66">
        <f t="shared" si="6"/>
        <v>1.942197161613685E-3</v>
      </c>
      <c r="O117" s="66">
        <f t="shared" si="6"/>
        <v>1.6765583029174744E-3</v>
      </c>
      <c r="P117" s="101">
        <f t="shared" si="5"/>
        <v>2.9253778459240477E-3</v>
      </c>
    </row>
    <row r="118" spans="2:16" x14ac:dyDescent="0.35">
      <c r="B118" s="21" t="s">
        <v>190</v>
      </c>
      <c r="C118" s="66">
        <f t="shared" si="4"/>
        <v>4.4464517647922697E-2</v>
      </c>
      <c r="D118" s="66">
        <f t="shared" si="6"/>
        <v>3.7674791451700482E-2</v>
      </c>
      <c r="E118" s="66">
        <f t="shared" si="6"/>
        <v>3.437715390173731E-2</v>
      </c>
      <c r="F118" s="66">
        <f t="shared" si="6"/>
        <v>3.3453288633308931E-2</v>
      </c>
      <c r="G118" s="66">
        <f t="shared" si="6"/>
        <v>3.2925788444111821E-2</v>
      </c>
      <c r="H118" s="66">
        <f t="shared" si="6"/>
        <v>3.6344880549264401E-2</v>
      </c>
      <c r="I118" s="66">
        <f t="shared" si="6"/>
        <v>3.2857636059322133E-2</v>
      </c>
      <c r="J118" s="66">
        <f t="shared" si="6"/>
        <v>3.3956186403580127E-2</v>
      </c>
      <c r="K118" s="66">
        <f t="shared" si="6"/>
        <v>3.2230838285942733E-2</v>
      </c>
      <c r="L118" s="66">
        <f t="shared" si="6"/>
        <v>3.3543814247802832E-2</v>
      </c>
      <c r="M118" s="66">
        <f t="shared" si="6"/>
        <v>3.358910758553834E-2</v>
      </c>
      <c r="N118" s="66">
        <f t="shared" si="6"/>
        <v>2.5160005752864693E-2</v>
      </c>
      <c r="O118" s="66">
        <f t="shared" si="6"/>
        <v>2.408002650742538E-2</v>
      </c>
      <c r="P118" s="101">
        <f t="shared" si="5"/>
        <v>3.3235516516437233E-2</v>
      </c>
    </row>
    <row r="119" spans="2:16" x14ac:dyDescent="0.35">
      <c r="B119" s="23" t="s">
        <v>178</v>
      </c>
      <c r="C119" s="66">
        <f t="shared" si="4"/>
        <v>3.2641791917589597E-3</v>
      </c>
      <c r="D119" s="66">
        <f t="shared" si="6"/>
        <v>3.7046696006084912E-3</v>
      </c>
      <c r="E119" s="66">
        <f t="shared" si="6"/>
        <v>2.9418341246303954E-3</v>
      </c>
      <c r="F119" s="66">
        <f t="shared" si="6"/>
        <v>3.3542840434923546E-3</v>
      </c>
      <c r="G119" s="66">
        <f t="shared" si="6"/>
        <v>3.1803581177594184E-3</v>
      </c>
      <c r="H119" s="66">
        <f t="shared" si="6"/>
        <v>3.6858889951730386E-3</v>
      </c>
      <c r="I119" s="66">
        <f t="shared" si="6"/>
        <v>3.0959682324987131E-3</v>
      </c>
      <c r="J119" s="66">
        <f t="shared" si="6"/>
        <v>3.8796170393724161E-3</v>
      </c>
      <c r="K119" s="66">
        <f t="shared" si="6"/>
        <v>3.0881660549455306E-3</v>
      </c>
      <c r="L119" s="66">
        <f t="shared" si="6"/>
        <v>4.7114203550580229E-3</v>
      </c>
      <c r="M119" s="66">
        <f t="shared" si="6"/>
        <v>4.3825829242057296E-3</v>
      </c>
      <c r="N119" s="66">
        <f t="shared" si="6"/>
        <v>2.5016329862894166E-3</v>
      </c>
      <c r="O119" s="66">
        <f t="shared" si="6"/>
        <v>2.2432945847207448E-3</v>
      </c>
      <c r="P119" s="101">
        <f t="shared" si="5"/>
        <v>3.8315509212160821E-3</v>
      </c>
    </row>
    <row r="120" spans="2:16" x14ac:dyDescent="0.35">
      <c r="B120" s="21" t="s">
        <v>191</v>
      </c>
      <c r="C120" s="66">
        <f t="shared" si="4"/>
        <v>1.1001717829679184E-3</v>
      </c>
      <c r="D120" s="66">
        <f t="shared" si="6"/>
        <v>1.2481692839708322E-3</v>
      </c>
      <c r="E120" s="66">
        <f t="shared" si="6"/>
        <v>1.6837205590945965E-3</v>
      </c>
      <c r="F120" s="66">
        <f t="shared" si="6"/>
        <v>1.7718198920049387E-3</v>
      </c>
      <c r="G120" s="66">
        <f t="shared" si="6"/>
        <v>1.8633349576717877E-3</v>
      </c>
      <c r="H120" s="66">
        <f t="shared" si="6"/>
        <v>1.9680105476163373E-3</v>
      </c>
      <c r="I120" s="66">
        <f t="shared" si="6"/>
        <v>2.6276642760506351E-3</v>
      </c>
      <c r="J120" s="66">
        <f t="shared" si="6"/>
        <v>2.5250626857671451E-3</v>
      </c>
      <c r="K120" s="66">
        <f t="shared" si="6"/>
        <v>2.091453737959418E-3</v>
      </c>
      <c r="L120" s="66">
        <f t="shared" si="6"/>
        <v>1.9326100576612618E-3</v>
      </c>
      <c r="M120" s="66">
        <f t="shared" si="6"/>
        <v>1.7646194727825601E-3</v>
      </c>
      <c r="N120" s="66">
        <f t="shared" si="6"/>
        <v>1.4188568636372655E-3</v>
      </c>
      <c r="O120" s="66">
        <f t="shared" si="6"/>
        <v>1.4245709677188272E-3</v>
      </c>
      <c r="P120" s="101">
        <f t="shared" si="5"/>
        <v>2.1882820460442038E-3</v>
      </c>
    </row>
    <row r="121" spans="2:16" x14ac:dyDescent="0.35">
      <c r="B121" s="20" t="s">
        <v>192</v>
      </c>
      <c r="C121" s="66">
        <f t="shared" si="4"/>
        <v>6.3853226149239786E-4</v>
      </c>
      <c r="D121" s="66">
        <f t="shared" si="6"/>
        <v>6.7417472319609615E-4</v>
      </c>
      <c r="E121" s="66">
        <f t="shared" si="6"/>
        <v>6.329844533400716E-4</v>
      </c>
      <c r="F121" s="66">
        <f t="shared" si="6"/>
        <v>6.3937339501555558E-4</v>
      </c>
      <c r="G121" s="66">
        <f t="shared" si="6"/>
        <v>6.3206081076363921E-4</v>
      </c>
      <c r="H121" s="66">
        <f t="shared" si="6"/>
        <v>7.290564063007056E-4</v>
      </c>
      <c r="I121" s="66">
        <f t="shared" si="6"/>
        <v>6.4764141617677687E-4</v>
      </c>
      <c r="J121" s="66">
        <f t="shared" si="6"/>
        <v>5.746108497389742E-4</v>
      </c>
      <c r="K121" s="66">
        <f t="shared" si="6"/>
        <v>5.7070948953509711E-4</v>
      </c>
      <c r="L121" s="66">
        <f t="shared" si="6"/>
        <v>5.6476065931855091E-4</v>
      </c>
      <c r="M121" s="66">
        <f t="shared" si="6"/>
        <v>5.1265116088701794E-4</v>
      </c>
      <c r="N121" s="66">
        <f t="shared" si="6"/>
        <v>4.2184685116413117E-4</v>
      </c>
      <c r="O121" s="66">
        <f t="shared" si="6"/>
        <v>3.7815207362974134E-4</v>
      </c>
      <c r="P121" s="101">
        <f t="shared" si="5"/>
        <v>5.7407471513128334E-4</v>
      </c>
    </row>
    <row r="122" spans="2:16" x14ac:dyDescent="0.35">
      <c r="B122" s="8" t="s">
        <v>193</v>
      </c>
      <c r="C122" s="66">
        <f t="shared" si="4"/>
        <v>0</v>
      </c>
      <c r="D122" s="66">
        <f t="shared" si="6"/>
        <v>0</v>
      </c>
      <c r="E122" s="66">
        <f t="shared" si="6"/>
        <v>0</v>
      </c>
      <c r="F122" s="66">
        <f t="shared" si="6"/>
        <v>0</v>
      </c>
      <c r="G122" s="66">
        <f t="shared" si="6"/>
        <v>0</v>
      </c>
      <c r="H122" s="66">
        <f t="shared" si="6"/>
        <v>0</v>
      </c>
      <c r="I122" s="66">
        <f t="shared" si="6"/>
        <v>0</v>
      </c>
      <c r="J122" s="66">
        <f t="shared" si="6"/>
        <v>0</v>
      </c>
      <c r="K122" s="66">
        <f t="shared" si="6"/>
        <v>0</v>
      </c>
      <c r="L122" s="66">
        <f t="shared" si="6"/>
        <v>0</v>
      </c>
      <c r="M122" s="66">
        <f t="shared" si="6"/>
        <v>0</v>
      </c>
      <c r="N122" s="66">
        <f t="shared" si="6"/>
        <v>0</v>
      </c>
      <c r="O122" s="66">
        <f t="shared" si="6"/>
        <v>0</v>
      </c>
      <c r="P122" s="101">
        <f t="shared" si="5"/>
        <v>0</v>
      </c>
    </row>
    <row r="123" spans="2:16" x14ac:dyDescent="0.35">
      <c r="B123" s="20" t="s">
        <v>194</v>
      </c>
      <c r="C123" s="66">
        <f t="shared" si="4"/>
        <v>3.4411230294968218E-2</v>
      </c>
      <c r="D123" s="66">
        <f t="shared" si="6"/>
        <v>3.6575111830377899E-2</v>
      </c>
      <c r="E123" s="66">
        <f t="shared" si="6"/>
        <v>3.8071487150842943E-2</v>
      </c>
      <c r="F123" s="66">
        <f t="shared" si="6"/>
        <v>3.6343773749975952E-2</v>
      </c>
      <c r="G123" s="66">
        <f t="shared" si="6"/>
        <v>3.7852368578685236E-2</v>
      </c>
      <c r="H123" s="66">
        <f t="shared" si="6"/>
        <v>4.5133026034330725E-2</v>
      </c>
      <c r="I123" s="66">
        <f t="shared" si="6"/>
        <v>4.2229392199983957E-2</v>
      </c>
      <c r="J123" s="66">
        <f t="shared" si="6"/>
        <v>4.5766067921349102E-2</v>
      </c>
      <c r="K123" s="66">
        <f t="shared" si="6"/>
        <v>4.8047052100318732E-2</v>
      </c>
      <c r="L123" s="66">
        <f t="shared" si="6"/>
        <v>4.4203910583488236E-2</v>
      </c>
      <c r="M123" s="66">
        <f t="shared" si="6"/>
        <v>4.1400779279103753E-2</v>
      </c>
      <c r="N123" s="66">
        <f t="shared" si="6"/>
        <v>3.437348983098213E-2</v>
      </c>
      <c r="O123" s="66">
        <f t="shared" si="6"/>
        <v>3.8845534906949766E-2</v>
      </c>
      <c r="P123" s="101">
        <f t="shared" si="5"/>
        <v>4.4329440416848755E-2</v>
      </c>
    </row>
    <row r="124" spans="2:16" x14ac:dyDescent="0.35">
      <c r="B124" s="21" t="s">
        <v>195</v>
      </c>
      <c r="C124" s="66">
        <f t="shared" si="4"/>
        <v>1.5940217937457522E-3</v>
      </c>
      <c r="D124" s="66">
        <f t="shared" si="6"/>
        <v>1.3225040436274716E-3</v>
      </c>
      <c r="E124" s="66">
        <f t="shared" si="6"/>
        <v>7.6620607414697292E-4</v>
      </c>
      <c r="F124" s="66">
        <f t="shared" si="6"/>
        <v>1.5890636340103448E-3</v>
      </c>
      <c r="G124" s="66">
        <f t="shared" si="6"/>
        <v>1.472045088656765E-3</v>
      </c>
      <c r="H124" s="66">
        <f t="shared" si="6"/>
        <v>1.4291782271917144E-3</v>
      </c>
      <c r="I124" s="66">
        <f t="shared" si="6"/>
        <v>1.2263335449010369E-3</v>
      </c>
      <c r="J124" s="66">
        <f t="shared" si="6"/>
        <v>7.0988034764533458E-4</v>
      </c>
      <c r="K124" s="66">
        <f t="shared" si="6"/>
        <v>7.2055753819193333E-4</v>
      </c>
      <c r="L124" s="66">
        <f t="shared" si="6"/>
        <v>3.8022565833557902E-4</v>
      </c>
      <c r="M124" s="66">
        <f t="shared" si="6"/>
        <v>4.5571483957890105E-4</v>
      </c>
      <c r="N124" s="66">
        <f t="shared" si="6"/>
        <v>3.6084316908411407E-4</v>
      </c>
      <c r="O124" s="66">
        <f t="shared" si="6"/>
        <v>4.7656056960599508E-4</v>
      </c>
      <c r="P124" s="101">
        <f t="shared" si="5"/>
        <v>6.98542385730557E-4</v>
      </c>
    </row>
    <row r="125" spans="2:16" x14ac:dyDescent="0.35">
      <c r="B125" s="21" t="s">
        <v>196</v>
      </c>
      <c r="C125" s="66">
        <f t="shared" si="4"/>
        <v>2.3030272750172075E-2</v>
      </c>
      <c r="D125" s="66">
        <f t="shared" si="6"/>
        <v>2.6083371118221042E-2</v>
      </c>
      <c r="E125" s="66">
        <f t="shared" si="6"/>
        <v>2.9656696766986287E-2</v>
      </c>
      <c r="F125" s="66">
        <f t="shared" si="6"/>
        <v>2.8360376212853429E-2</v>
      </c>
      <c r="G125" s="66">
        <f t="shared" si="6"/>
        <v>3.0236170200882727E-2</v>
      </c>
      <c r="H125" s="66">
        <f t="shared" si="6"/>
        <v>3.8129972866392893E-2</v>
      </c>
      <c r="I125" s="66">
        <f t="shared" si="6"/>
        <v>3.4407559271137714E-2</v>
      </c>
      <c r="J125" s="66">
        <f t="shared" si="6"/>
        <v>3.7136309946195149E-2</v>
      </c>
      <c r="K125" s="66">
        <f t="shared" si="6"/>
        <v>4.003617978151288E-2</v>
      </c>
      <c r="L125" s="66">
        <f t="shared" si="6"/>
        <v>3.6482063023088054E-2</v>
      </c>
      <c r="M125" s="66">
        <f t="shared" si="6"/>
        <v>3.3816250147527024E-2</v>
      </c>
      <c r="N125" s="66">
        <f t="shared" si="6"/>
        <v>2.8442512773276484E-2</v>
      </c>
      <c r="O125" s="66">
        <f t="shared" si="6"/>
        <v>3.1757867200065522E-2</v>
      </c>
      <c r="P125" s="101">
        <f t="shared" si="5"/>
        <v>3.637567243389217E-2</v>
      </c>
    </row>
    <row r="126" spans="2:16" x14ac:dyDescent="0.35">
      <c r="B126" s="21" t="s">
        <v>197</v>
      </c>
      <c r="C126" s="66">
        <f t="shared" si="4"/>
        <v>9.7869357510503886E-3</v>
      </c>
      <c r="D126" s="66">
        <f t="shared" si="6"/>
        <v>9.1692366685293819E-3</v>
      </c>
      <c r="E126" s="66">
        <f t="shared" si="6"/>
        <v>7.6485843097096797E-3</v>
      </c>
      <c r="F126" s="66">
        <f t="shared" si="6"/>
        <v>6.3943339031121852E-3</v>
      </c>
      <c r="G126" s="66">
        <f t="shared" si="6"/>
        <v>6.1441532891457415E-3</v>
      </c>
      <c r="H126" s="66">
        <f t="shared" si="6"/>
        <v>5.5738749407461142E-3</v>
      </c>
      <c r="I126" s="66">
        <f t="shared" si="6"/>
        <v>6.5954993839452128E-3</v>
      </c>
      <c r="J126" s="66">
        <f t="shared" si="6"/>
        <v>7.9198776275086133E-3</v>
      </c>
      <c r="K126" s="66">
        <f t="shared" si="6"/>
        <v>7.2903147806139181E-3</v>
      </c>
      <c r="L126" s="66">
        <f t="shared" si="6"/>
        <v>7.3416219020645971E-3</v>
      </c>
      <c r="M126" s="66">
        <f t="shared" si="6"/>
        <v>7.1288142919978259E-3</v>
      </c>
      <c r="N126" s="66">
        <f t="shared" si="6"/>
        <v>5.5701338886215354E-3</v>
      </c>
      <c r="O126" s="66">
        <f t="shared" si="6"/>
        <v>6.6111071372782484E-3</v>
      </c>
      <c r="P126" s="101">
        <f t="shared" si="5"/>
        <v>7.2552255972260339E-3</v>
      </c>
    </row>
    <row r="127" spans="2:16" x14ac:dyDescent="0.35">
      <c r="B127" s="20" t="s">
        <v>141</v>
      </c>
      <c r="C127" s="66">
        <f t="shared" si="4"/>
        <v>1.1377853831373358E-2</v>
      </c>
      <c r="D127" s="66">
        <f t="shared" si="6"/>
        <v>1.1516779817492249E-2</v>
      </c>
      <c r="E127" s="66">
        <f t="shared" si="6"/>
        <v>1.1822306154384938E-2</v>
      </c>
      <c r="F127" s="66">
        <f t="shared" si="6"/>
        <v>1.3295363369448737E-2</v>
      </c>
      <c r="G127" s="66">
        <f t="shared" si="6"/>
        <v>1.3959129503524908E-2</v>
      </c>
      <c r="H127" s="66">
        <f t="shared" si="6"/>
        <v>1.3965618304735724E-2</v>
      </c>
      <c r="I127" s="66">
        <f t="shared" si="6"/>
        <v>1.4364110328101573E-2</v>
      </c>
      <c r="J127" s="66">
        <f t="shared" si="6"/>
        <v>1.0027414554125992E-2</v>
      </c>
      <c r="K127" s="66">
        <f t="shared" si="6"/>
        <v>9.626186920250239E-3</v>
      </c>
      <c r="L127" s="66">
        <f t="shared" si="6"/>
        <v>8.1921629217686261E-3</v>
      </c>
      <c r="M127" s="66">
        <f t="shared" si="6"/>
        <v>7.4500657809344903E-3</v>
      </c>
      <c r="N127" s="66">
        <f t="shared" si="6"/>
        <v>6.0246460704694539E-3</v>
      </c>
      <c r="O127" s="66">
        <f t="shared" si="6"/>
        <v>5.3909658135257365E-3</v>
      </c>
      <c r="P127" s="101">
        <f t="shared" si="5"/>
        <v>9.9319881010361856E-3</v>
      </c>
    </row>
    <row r="128" spans="2:16" x14ac:dyDescent="0.35">
      <c r="B128" s="21" t="s">
        <v>178</v>
      </c>
      <c r="C128" s="66">
        <f t="shared" si="4"/>
        <v>6.2373284748863222E-4</v>
      </c>
      <c r="D128" s="66">
        <f t="shared" ref="D128:O143" si="7">D38/D$94*100</f>
        <v>6.3367100223148164E-4</v>
      </c>
      <c r="E128" s="66">
        <f t="shared" si="7"/>
        <v>5.7672035074186868E-4</v>
      </c>
      <c r="F128" s="66">
        <f t="shared" si="7"/>
        <v>8.5433301024102036E-4</v>
      </c>
      <c r="G128" s="66">
        <f t="shared" si="7"/>
        <v>1.0907560713722215E-3</v>
      </c>
      <c r="H128" s="66">
        <f t="shared" si="7"/>
        <v>8.2909565403546572E-4</v>
      </c>
      <c r="I128" s="66">
        <f t="shared" si="7"/>
        <v>8.0905668199129769E-4</v>
      </c>
      <c r="J128" s="66">
        <f t="shared" si="7"/>
        <v>5.1180887168504372E-5</v>
      </c>
      <c r="K128" s="66">
        <f t="shared" si="7"/>
        <v>3.3372272844972234E-5</v>
      </c>
      <c r="L128" s="66">
        <f t="shared" si="7"/>
        <v>7.8163669330937657E-5</v>
      </c>
      <c r="M128" s="66">
        <f t="shared" si="7"/>
        <v>5.3151780009940725E-5</v>
      </c>
      <c r="N128" s="66">
        <f t="shared" si="7"/>
        <v>2.2711036364225385E-5</v>
      </c>
      <c r="O128" s="66">
        <f t="shared" si="7"/>
        <v>7.5741610766599397E-5</v>
      </c>
      <c r="P128" s="101">
        <f t="shared" si="5"/>
        <v>2.0498505826913055E-4</v>
      </c>
    </row>
    <row r="129" spans="2:16" x14ac:dyDescent="0.35">
      <c r="B129" s="20" t="s">
        <v>198</v>
      </c>
      <c r="C129" s="66">
        <f t="shared" si="4"/>
        <v>1.3361315959351194E-2</v>
      </c>
      <c r="D129" s="66">
        <f t="shared" si="7"/>
        <v>1.0376848274536091E-2</v>
      </c>
      <c r="E129" s="66">
        <f t="shared" si="7"/>
        <v>1.1368203600512458E-2</v>
      </c>
      <c r="F129" s="66">
        <f t="shared" si="7"/>
        <v>8.9529744520620829E-3</v>
      </c>
      <c r="G129" s="66">
        <f t="shared" si="7"/>
        <v>8.8799360224745133E-3</v>
      </c>
      <c r="H129" s="66">
        <f t="shared" si="7"/>
        <v>9.208690909646957E-3</v>
      </c>
      <c r="I129" s="66">
        <f t="shared" si="7"/>
        <v>9.1315558345652775E-3</v>
      </c>
      <c r="J129" s="66">
        <f t="shared" si="7"/>
        <v>8.7264294222298179E-3</v>
      </c>
      <c r="K129" s="66">
        <f t="shared" si="7"/>
        <v>9.2366256176285369E-3</v>
      </c>
      <c r="L129" s="66">
        <f t="shared" si="7"/>
        <v>8.4379725505667538E-3</v>
      </c>
      <c r="M129" s="66">
        <f t="shared" si="7"/>
        <v>8.8848694879908093E-3</v>
      </c>
      <c r="N129" s="66">
        <f t="shared" si="7"/>
        <v>8.6911638711129613E-3</v>
      </c>
      <c r="O129" s="66">
        <f t="shared" si="7"/>
        <v>8.3991501628754694E-3</v>
      </c>
      <c r="P129" s="101">
        <f t="shared" si="5"/>
        <v>8.8834905825962394E-3</v>
      </c>
    </row>
    <row r="130" spans="2:16" x14ac:dyDescent="0.35">
      <c r="B130" s="20" t="s">
        <v>199</v>
      </c>
      <c r="C130" s="66">
        <f t="shared" si="4"/>
        <v>4.1627610029006465E-4</v>
      </c>
      <c r="D130" s="66">
        <f t="shared" si="7"/>
        <v>1.0239239940122117E-4</v>
      </c>
      <c r="E130" s="66">
        <f t="shared" si="7"/>
        <v>1.9764251104934416E-4</v>
      </c>
      <c r="F130" s="66">
        <f t="shared" si="7"/>
        <v>1.0816798894533741E-4</v>
      </c>
      <c r="G130" s="66">
        <f t="shared" si="7"/>
        <v>1.0035758717321825E-4</v>
      </c>
      <c r="H130" s="66">
        <f t="shared" si="7"/>
        <v>8.3915394796531931E-5</v>
      </c>
      <c r="I130" s="66">
        <f t="shared" si="7"/>
        <v>7.6095060900803127E-5</v>
      </c>
      <c r="J130" s="66">
        <f t="shared" si="7"/>
        <v>1.0354792706186604E-4</v>
      </c>
      <c r="K130" s="66">
        <f t="shared" si="7"/>
        <v>9.8309543254796844E-5</v>
      </c>
      <c r="L130" s="66">
        <f t="shared" si="7"/>
        <v>1.0197129188871188E-4</v>
      </c>
      <c r="M130" s="66">
        <f t="shared" si="7"/>
        <v>1.0549058448175471E-4</v>
      </c>
      <c r="N130" s="66">
        <f t="shared" si="7"/>
        <v>7.3995829733589235E-5</v>
      </c>
      <c r="O130" s="66">
        <f t="shared" si="7"/>
        <v>7.8307673243164025E-5</v>
      </c>
      <c r="P130" s="101">
        <f t="shared" si="5"/>
        <v>9.7082881517586509E-5</v>
      </c>
    </row>
    <row r="131" spans="2:16" x14ac:dyDescent="0.35">
      <c r="B131" s="20" t="s">
        <v>200</v>
      </c>
      <c r="C131" s="66">
        <f t="shared" si="4"/>
        <v>5.571544095535327E-5</v>
      </c>
      <c r="D131" s="66">
        <f t="shared" si="7"/>
        <v>7.0359927359490125E-5</v>
      </c>
      <c r="E131" s="66">
        <f t="shared" si="7"/>
        <v>3.583666919349762E-5</v>
      </c>
      <c r="F131" s="66">
        <f t="shared" si="7"/>
        <v>4.1820250212145128E-6</v>
      </c>
      <c r="G131" s="66">
        <f t="shared" si="7"/>
        <v>1.6214295388507783E-5</v>
      </c>
      <c r="H131" s="66">
        <f t="shared" si="7"/>
        <v>0</v>
      </c>
      <c r="I131" s="66">
        <f t="shared" si="7"/>
        <v>0</v>
      </c>
      <c r="J131" s="66">
        <f t="shared" si="7"/>
        <v>0</v>
      </c>
      <c r="K131" s="66">
        <f t="shared" si="7"/>
        <v>1.0905971517964784E-7</v>
      </c>
      <c r="L131" s="66">
        <f t="shared" si="7"/>
        <v>0</v>
      </c>
      <c r="M131" s="66">
        <f t="shared" si="7"/>
        <v>0</v>
      </c>
      <c r="N131" s="66">
        <f t="shared" si="7"/>
        <v>0</v>
      </c>
      <c r="O131" s="66">
        <f t="shared" si="7"/>
        <v>0</v>
      </c>
      <c r="P131" s="101">
        <f t="shared" si="5"/>
        <v>2.1811943035929568E-8</v>
      </c>
    </row>
    <row r="132" spans="2:16" x14ac:dyDescent="0.35">
      <c r="B132" s="8" t="s">
        <v>201</v>
      </c>
      <c r="C132" s="66">
        <f t="shared" si="4"/>
        <v>0</v>
      </c>
      <c r="D132" s="66">
        <f t="shared" si="7"/>
        <v>0</v>
      </c>
      <c r="E132" s="66">
        <f t="shared" si="7"/>
        <v>0</v>
      </c>
      <c r="F132" s="66">
        <f t="shared" si="7"/>
        <v>0</v>
      </c>
      <c r="G132" s="66">
        <f t="shared" si="7"/>
        <v>0</v>
      </c>
      <c r="H132" s="66">
        <f t="shared" si="7"/>
        <v>0</v>
      </c>
      <c r="I132" s="66">
        <f t="shared" si="7"/>
        <v>0</v>
      </c>
      <c r="J132" s="66">
        <f t="shared" si="7"/>
        <v>0</v>
      </c>
      <c r="K132" s="66">
        <f t="shared" si="7"/>
        <v>0</v>
      </c>
      <c r="L132" s="66">
        <f t="shared" si="7"/>
        <v>0</v>
      </c>
      <c r="M132" s="66">
        <f t="shared" si="7"/>
        <v>0</v>
      </c>
      <c r="N132" s="66">
        <f t="shared" si="7"/>
        <v>0</v>
      </c>
      <c r="O132" s="66">
        <f t="shared" si="7"/>
        <v>0</v>
      </c>
      <c r="P132" s="101">
        <f t="shared" si="5"/>
        <v>0</v>
      </c>
    </row>
    <row r="133" spans="2:16" x14ac:dyDescent="0.35">
      <c r="B133" s="20" t="s">
        <v>142</v>
      </c>
      <c r="C133" s="66">
        <f t="shared" si="4"/>
        <v>1.2939267709098024E-2</v>
      </c>
      <c r="D133" s="66">
        <f t="shared" si="7"/>
        <v>1.3473440476346779E-2</v>
      </c>
      <c r="E133" s="66">
        <f t="shared" si="7"/>
        <v>1.0012403636863362E-2</v>
      </c>
      <c r="F133" s="66">
        <f t="shared" si="7"/>
        <v>1.1649374787259328E-2</v>
      </c>
      <c r="G133" s="66">
        <f t="shared" si="7"/>
        <v>1.1974004068758386E-2</v>
      </c>
      <c r="H133" s="66">
        <f t="shared" si="7"/>
        <v>1.2188562428534291E-2</v>
      </c>
      <c r="I133" s="66">
        <f t="shared" si="7"/>
        <v>1.3851446466274755E-2</v>
      </c>
      <c r="J133" s="66">
        <f t="shared" si="7"/>
        <v>1.2374923000254702E-2</v>
      </c>
      <c r="K133" s="66">
        <f t="shared" si="7"/>
        <v>9.3875642634371707E-3</v>
      </c>
      <c r="L133" s="66">
        <f t="shared" si="7"/>
        <v>1.1271494453505431E-2</v>
      </c>
      <c r="M133" s="66">
        <f t="shared" si="7"/>
        <v>1.1505384000585341E-2</v>
      </c>
      <c r="N133" s="66">
        <f t="shared" si="7"/>
        <v>8.7185493902826577E-3</v>
      </c>
      <c r="O133" s="66">
        <f t="shared" si="7"/>
        <v>1.0416887855906182E-2</v>
      </c>
      <c r="P133" s="101">
        <f t="shared" si="5"/>
        <v>1.1678162436811482E-2</v>
      </c>
    </row>
    <row r="134" spans="2:16" x14ac:dyDescent="0.35">
      <c r="B134" s="21" t="s">
        <v>178</v>
      </c>
      <c r="C134" s="66">
        <f t="shared" si="4"/>
        <v>6.0198225092273966E-3</v>
      </c>
      <c r="D134" s="66">
        <f t="shared" si="7"/>
        <v>6.3520517958418222E-3</v>
      </c>
      <c r="E134" s="66">
        <f t="shared" si="7"/>
        <v>4.6815705362644577E-3</v>
      </c>
      <c r="F134" s="66">
        <f t="shared" si="7"/>
        <v>4.8426261634896516E-3</v>
      </c>
      <c r="G134" s="66">
        <f t="shared" si="7"/>
        <v>5.259348440146386E-3</v>
      </c>
      <c r="H134" s="66">
        <f t="shared" si="7"/>
        <v>4.7818862359383521E-3</v>
      </c>
      <c r="I134" s="66">
        <f t="shared" si="7"/>
        <v>7.4574644947476088E-3</v>
      </c>
      <c r="J134" s="66">
        <f t="shared" si="7"/>
        <v>5.8789896607555113E-3</v>
      </c>
      <c r="K134" s="66">
        <f t="shared" si="7"/>
        <v>2.9125487535876749E-3</v>
      </c>
      <c r="L134" s="66">
        <f t="shared" si="7"/>
        <v>4.972889384629994E-3</v>
      </c>
      <c r="M134" s="66">
        <f t="shared" si="7"/>
        <v>5.3000959030798604E-3</v>
      </c>
      <c r="N134" s="66">
        <f t="shared" si="7"/>
        <v>3.1726622793787043E-3</v>
      </c>
      <c r="O134" s="66">
        <f t="shared" si="7"/>
        <v>3.4959928261446699E-3</v>
      </c>
      <c r="P134" s="101">
        <f t="shared" si="5"/>
        <v>5.3043976393601297E-3</v>
      </c>
    </row>
    <row r="135" spans="2:16" x14ac:dyDescent="0.35">
      <c r="B135" s="20" t="s">
        <v>143</v>
      </c>
      <c r="C135" s="66">
        <f t="shared" si="4"/>
        <v>6.3839789341128958E-3</v>
      </c>
      <c r="D135" s="66">
        <f t="shared" si="7"/>
        <v>5.7570319909251511E-3</v>
      </c>
      <c r="E135" s="66">
        <f t="shared" si="7"/>
        <v>4.8921929789563744E-3</v>
      </c>
      <c r="F135" s="66">
        <f t="shared" si="7"/>
        <v>5.0041370285494671E-3</v>
      </c>
      <c r="G135" s="66">
        <f t="shared" si="7"/>
        <v>4.7464600824642664E-3</v>
      </c>
      <c r="H135" s="66">
        <f t="shared" si="7"/>
        <v>6.0346025699620611E-3</v>
      </c>
      <c r="I135" s="66">
        <f t="shared" si="7"/>
        <v>6.8953083128944406E-3</v>
      </c>
      <c r="J135" s="66">
        <f t="shared" si="7"/>
        <v>6.3661778488543277E-3</v>
      </c>
      <c r="K135" s="66">
        <f t="shared" si="7"/>
        <v>8.1807717750964314E-3</v>
      </c>
      <c r="L135" s="66">
        <f t="shared" si="7"/>
        <v>1.0053024182885208E-2</v>
      </c>
      <c r="M135" s="66">
        <f t="shared" si="7"/>
        <v>1.0483347597783436E-2</v>
      </c>
      <c r="N135" s="66">
        <f t="shared" si="7"/>
        <v>7.5498165910061824E-3</v>
      </c>
      <c r="O135" s="66">
        <f t="shared" si="7"/>
        <v>7.6271716506549703E-3</v>
      </c>
      <c r="P135" s="101">
        <f t="shared" si="5"/>
        <v>8.3957259435027687E-3</v>
      </c>
    </row>
    <row r="136" spans="2:16" x14ac:dyDescent="0.35">
      <c r="B136" s="20" t="s">
        <v>144</v>
      </c>
      <c r="C136" s="66">
        <f t="shared" si="4"/>
        <v>5.7891825367671763E-5</v>
      </c>
      <c r="D136" s="66">
        <f t="shared" si="7"/>
        <v>4.6205177246045541E-5</v>
      </c>
      <c r="E136" s="66">
        <f t="shared" si="7"/>
        <v>5.294819109934879E-5</v>
      </c>
      <c r="F136" s="66">
        <f t="shared" si="7"/>
        <v>6.0471728893257963E-5</v>
      </c>
      <c r="G136" s="66">
        <f t="shared" si="7"/>
        <v>6.4700100113238257E-5</v>
      </c>
      <c r="H136" s="66">
        <f t="shared" si="7"/>
        <v>6.1063358756577391E-5</v>
      </c>
      <c r="I136" s="66">
        <f t="shared" si="7"/>
        <v>7.682119030432414E-5</v>
      </c>
      <c r="J136" s="66">
        <f t="shared" si="7"/>
        <v>1.4554414515816465E-5</v>
      </c>
      <c r="K136" s="66">
        <f t="shared" si="7"/>
        <v>6.1135760337848309E-5</v>
      </c>
      <c r="L136" s="66">
        <f t="shared" si="7"/>
        <v>5.7719040127621889E-5</v>
      </c>
      <c r="M136" s="66">
        <f t="shared" si="7"/>
        <v>4.6998396195498758E-5</v>
      </c>
      <c r="N136" s="66">
        <f t="shared" si="7"/>
        <v>5.6676702792459805E-5</v>
      </c>
      <c r="O136" s="66">
        <f t="shared" si="7"/>
        <v>7.097301133098346E-5</v>
      </c>
      <c r="P136" s="101">
        <f t="shared" si="5"/>
        <v>5.1445760296221915E-5</v>
      </c>
    </row>
    <row r="137" spans="2:16" x14ac:dyDescent="0.35">
      <c r="B137" s="20" t="s">
        <v>145</v>
      </c>
      <c r="C137" s="66">
        <f t="shared" si="4"/>
        <v>8.9296106183335219E-4</v>
      </c>
      <c r="D137" s="66">
        <f t="shared" si="7"/>
        <v>8.1921113787578135E-4</v>
      </c>
      <c r="E137" s="66">
        <f t="shared" si="7"/>
        <v>8.7552476072684071E-4</v>
      </c>
      <c r="F137" s="66">
        <f t="shared" si="7"/>
        <v>1.0226198145757161E-3</v>
      </c>
      <c r="G137" s="66">
        <f t="shared" si="7"/>
        <v>1.1480384367813525E-3</v>
      </c>
      <c r="H137" s="66">
        <f t="shared" si="7"/>
        <v>1.1628713031097459E-3</v>
      </c>
      <c r="I137" s="66">
        <f t="shared" si="7"/>
        <v>1.0815862494855208E-3</v>
      </c>
      <c r="J137" s="66">
        <f t="shared" si="7"/>
        <v>1.3544261208782596E-3</v>
      </c>
      <c r="K137" s="66">
        <f t="shared" si="7"/>
        <v>1.2616651050354117E-3</v>
      </c>
      <c r="L137" s="66">
        <f t="shared" si="7"/>
        <v>1.8246831563959321E-3</v>
      </c>
      <c r="M137" s="66">
        <f t="shared" si="7"/>
        <v>1.5376871630882194E-3</v>
      </c>
      <c r="N137" s="66">
        <f t="shared" si="7"/>
        <v>1.4129605136236512E-3</v>
      </c>
      <c r="O137" s="66">
        <f t="shared" si="7"/>
        <v>7.1156912475137265E-4</v>
      </c>
      <c r="P137" s="101">
        <f t="shared" si="5"/>
        <v>1.4120095589766689E-3</v>
      </c>
    </row>
    <row r="138" spans="2:16" x14ac:dyDescent="0.35">
      <c r="B138" s="8" t="s">
        <v>202</v>
      </c>
      <c r="C138" s="66">
        <f t="shared" si="4"/>
        <v>0</v>
      </c>
      <c r="D138" s="66">
        <f t="shared" si="7"/>
        <v>0</v>
      </c>
      <c r="E138" s="66">
        <f t="shared" si="7"/>
        <v>0</v>
      </c>
      <c r="F138" s="66">
        <f t="shared" si="7"/>
        <v>0</v>
      </c>
      <c r="G138" s="66">
        <f t="shared" si="7"/>
        <v>0</v>
      </c>
      <c r="H138" s="66">
        <f t="shared" si="7"/>
        <v>0</v>
      </c>
      <c r="I138" s="66">
        <f t="shared" si="7"/>
        <v>0</v>
      </c>
      <c r="J138" s="66">
        <f t="shared" si="7"/>
        <v>0</v>
      </c>
      <c r="K138" s="66">
        <f t="shared" si="7"/>
        <v>0</v>
      </c>
      <c r="L138" s="66">
        <f t="shared" si="7"/>
        <v>0</v>
      </c>
      <c r="M138" s="66">
        <f t="shared" si="7"/>
        <v>0</v>
      </c>
      <c r="N138" s="66">
        <f t="shared" si="7"/>
        <v>0</v>
      </c>
      <c r="O138" s="66">
        <f t="shared" si="7"/>
        <v>0</v>
      </c>
      <c r="P138" s="101">
        <f t="shared" si="5"/>
        <v>0</v>
      </c>
    </row>
    <row r="139" spans="2:16" x14ac:dyDescent="0.35">
      <c r="B139" s="20" t="s">
        <v>203</v>
      </c>
      <c r="C139" s="66">
        <f t="shared" si="4"/>
        <v>6.9806489145613935E-3</v>
      </c>
      <c r="D139" s="66">
        <f t="shared" si="7"/>
        <v>6.927143482273238E-3</v>
      </c>
      <c r="E139" s="66">
        <f t="shared" si="7"/>
        <v>6.847091262927844E-3</v>
      </c>
      <c r="F139" s="66">
        <f t="shared" si="7"/>
        <v>6.856244742691647E-3</v>
      </c>
      <c r="G139" s="66">
        <f t="shared" si="7"/>
        <v>6.7704544470803089E-3</v>
      </c>
      <c r="H139" s="66">
        <f t="shared" si="7"/>
        <v>7.6910268804507211E-3</v>
      </c>
      <c r="I139" s="66">
        <f t="shared" si="7"/>
        <v>7.5455736966884871E-3</v>
      </c>
      <c r="J139" s="66">
        <f t="shared" si="7"/>
        <v>7.3574809450174935E-3</v>
      </c>
      <c r="K139" s="66">
        <f t="shared" si="7"/>
        <v>7.5079356522752497E-3</v>
      </c>
      <c r="L139" s="66">
        <f t="shared" si="7"/>
        <v>7.2160207670024868E-3</v>
      </c>
      <c r="M139" s="66">
        <f t="shared" si="7"/>
        <v>7.1059248255536719E-3</v>
      </c>
      <c r="N139" s="66">
        <f t="shared" si="7"/>
        <v>6.088687605883482E-3</v>
      </c>
      <c r="O139" s="66">
        <f t="shared" si="7"/>
        <v>6.1875250658863278E-3</v>
      </c>
      <c r="P139" s="101">
        <f t="shared" si="5"/>
        <v>7.3465871773074776E-3</v>
      </c>
    </row>
    <row r="140" spans="2:16" x14ac:dyDescent="0.35">
      <c r="B140" s="20" t="s">
        <v>204</v>
      </c>
      <c r="C140" s="66">
        <f t="shared" si="4"/>
        <v>3.2715031984334574E-3</v>
      </c>
      <c r="D140" s="66">
        <f t="shared" si="7"/>
        <v>3.2388228525159161E-3</v>
      </c>
      <c r="E140" s="66">
        <f t="shared" si="7"/>
        <v>3.2274458172081616E-3</v>
      </c>
      <c r="F140" s="66">
        <f t="shared" si="7"/>
        <v>3.4385421425484697E-3</v>
      </c>
      <c r="G140" s="66">
        <f t="shared" si="7"/>
        <v>3.2308510742276131E-3</v>
      </c>
      <c r="H140" s="66">
        <f t="shared" si="7"/>
        <v>3.2666858091404743E-3</v>
      </c>
      <c r="I140" s="66">
        <f t="shared" si="7"/>
        <v>3.6553684232066997E-3</v>
      </c>
      <c r="J140" s="66">
        <f t="shared" si="7"/>
        <v>3.6510902907468711E-3</v>
      </c>
      <c r="K140" s="66">
        <f t="shared" si="7"/>
        <v>4.0005907920570875E-3</v>
      </c>
      <c r="L140" s="66">
        <f t="shared" si="7"/>
        <v>3.8021528787149038E-3</v>
      </c>
      <c r="M140" s="66">
        <f t="shared" si="7"/>
        <v>3.7674688118754978E-3</v>
      </c>
      <c r="N140" s="66">
        <f t="shared" si="7"/>
        <v>3.045509621195383E-3</v>
      </c>
      <c r="O140" s="66">
        <f t="shared" si="7"/>
        <v>3.0441947594375234E-3</v>
      </c>
      <c r="P140" s="101">
        <f t="shared" si="5"/>
        <v>3.7753342393202121E-3</v>
      </c>
    </row>
    <row r="141" spans="2:16" x14ac:dyDescent="0.35">
      <c r="B141" s="20" t="s">
        <v>205</v>
      </c>
      <c r="C141" s="66">
        <f t="shared" si="4"/>
        <v>4.3651836783281123E-3</v>
      </c>
      <c r="D141" s="66">
        <f t="shared" si="7"/>
        <v>3.7175473378245941E-3</v>
      </c>
      <c r="E141" s="66">
        <f t="shared" si="7"/>
        <v>3.387372051476423E-3</v>
      </c>
      <c r="F141" s="66">
        <f t="shared" si="7"/>
        <v>3.4974963433749575E-3</v>
      </c>
      <c r="G141" s="66">
        <f t="shared" si="7"/>
        <v>3.5078729218125382E-3</v>
      </c>
      <c r="H141" s="66">
        <f t="shared" si="7"/>
        <v>3.6819472313356634E-3</v>
      </c>
      <c r="I141" s="66">
        <f t="shared" si="7"/>
        <v>3.5861055798753899E-3</v>
      </c>
      <c r="J141" s="66">
        <f t="shared" si="7"/>
        <v>3.4856700729019082E-3</v>
      </c>
      <c r="K141" s="66">
        <f t="shared" si="7"/>
        <v>3.5622953767093942E-3</v>
      </c>
      <c r="L141" s="66">
        <f t="shared" si="7"/>
        <v>3.3784305310018358E-3</v>
      </c>
      <c r="M141" s="66">
        <f t="shared" si="7"/>
        <v>3.3852301407597063E-3</v>
      </c>
      <c r="N141" s="66">
        <f t="shared" si="7"/>
        <v>2.6251424624301055E-3</v>
      </c>
      <c r="O141" s="66">
        <f t="shared" si="7"/>
        <v>2.3653643151163215E-3</v>
      </c>
      <c r="P141" s="101">
        <f t="shared" si="5"/>
        <v>3.4795463402496471E-3</v>
      </c>
    </row>
    <row r="142" spans="2:16" x14ac:dyDescent="0.35">
      <c r="B142" s="21" t="s">
        <v>178</v>
      </c>
      <c r="C142" s="66">
        <f t="shared" si="4"/>
        <v>1.8531440143845762E-4</v>
      </c>
      <c r="D142" s="66">
        <f t="shared" si="7"/>
        <v>8.6762855210168802E-5</v>
      </c>
      <c r="E142" s="66">
        <f t="shared" si="7"/>
        <v>8.1390554971872387E-6</v>
      </c>
      <c r="F142" s="66">
        <f t="shared" si="7"/>
        <v>8.3464043672340273E-6</v>
      </c>
      <c r="G142" s="66">
        <f t="shared" si="7"/>
        <v>8.7616536975574895E-6</v>
      </c>
      <c r="H142" s="66">
        <f t="shared" si="7"/>
        <v>2.3888448083402287E-5</v>
      </c>
      <c r="I142" s="66">
        <f t="shared" si="7"/>
        <v>7.1771290361655348E-5</v>
      </c>
      <c r="J142" s="66">
        <f t="shared" si="7"/>
        <v>1.3576639972353023E-5</v>
      </c>
      <c r="K142" s="66">
        <f t="shared" si="7"/>
        <v>5.3283460844913653E-5</v>
      </c>
      <c r="L142" s="66">
        <f t="shared" si="7"/>
        <v>3.8015158359208872E-5</v>
      </c>
      <c r="M142" s="66">
        <f t="shared" si="7"/>
        <v>2.3099718738497446E-5</v>
      </c>
      <c r="N142" s="66">
        <f t="shared" si="7"/>
        <v>2.1545218110583015E-5</v>
      </c>
      <c r="O142" s="66">
        <f t="shared" si="7"/>
        <v>2.5019109146505167E-5</v>
      </c>
      <c r="P142" s="101">
        <f t="shared" si="5"/>
        <v>3.9949253655325666E-5</v>
      </c>
    </row>
    <row r="143" spans="2:16" x14ac:dyDescent="0.35">
      <c r="B143" s="20" t="s">
        <v>206</v>
      </c>
      <c r="C143" s="66">
        <f t="shared" si="4"/>
        <v>1.0913905449912594E-3</v>
      </c>
      <c r="D143" s="66">
        <f t="shared" si="7"/>
        <v>9.5246694099604271E-4</v>
      </c>
      <c r="E143" s="66">
        <f t="shared" si="7"/>
        <v>5.9496673005909233E-4</v>
      </c>
      <c r="F143" s="66">
        <f t="shared" si="7"/>
        <v>6.7388833569697151E-4</v>
      </c>
      <c r="G143" s="66">
        <f t="shared" si="7"/>
        <v>7.174607540746925E-4</v>
      </c>
      <c r="H143" s="66">
        <f t="shared" si="7"/>
        <v>7.3112923038760099E-4</v>
      </c>
      <c r="I143" s="66">
        <f t="shared" si="7"/>
        <v>7.4454668566485238E-4</v>
      </c>
      <c r="J143" s="66">
        <f t="shared" si="7"/>
        <v>9.445782962583133E-4</v>
      </c>
      <c r="K143" s="66">
        <f t="shared" si="7"/>
        <v>9.3330188258880346E-4</v>
      </c>
      <c r="L143" s="66">
        <f t="shared" si="7"/>
        <v>1.0600243942945262E-3</v>
      </c>
      <c r="M143" s="66">
        <f t="shared" si="7"/>
        <v>1.0322546643069818E-3</v>
      </c>
      <c r="N143" s="66">
        <f t="shared" si="7"/>
        <v>8.652725498115466E-4</v>
      </c>
      <c r="O143" s="66">
        <f t="shared" si="7"/>
        <v>8.2043432531962702E-4</v>
      </c>
      <c r="P143" s="101">
        <f t="shared" si="5"/>
        <v>9.4294118462269537E-4</v>
      </c>
    </row>
    <row r="144" spans="2:16" x14ac:dyDescent="0.35">
      <c r="B144" s="8" t="s">
        <v>207</v>
      </c>
      <c r="C144" s="66">
        <f t="shared" si="4"/>
        <v>0</v>
      </c>
      <c r="D144" s="66">
        <f t="shared" ref="D144:O159" si="8">D54/D$94*100</f>
        <v>0</v>
      </c>
      <c r="E144" s="66">
        <f t="shared" si="8"/>
        <v>0</v>
      </c>
      <c r="F144" s="66">
        <f t="shared" si="8"/>
        <v>0</v>
      </c>
      <c r="G144" s="66">
        <f t="shared" si="8"/>
        <v>0</v>
      </c>
      <c r="H144" s="66">
        <f t="shared" si="8"/>
        <v>0</v>
      </c>
      <c r="I144" s="66">
        <f t="shared" si="8"/>
        <v>0</v>
      </c>
      <c r="J144" s="66">
        <f t="shared" si="8"/>
        <v>0</v>
      </c>
      <c r="K144" s="66">
        <f t="shared" si="8"/>
        <v>0</v>
      </c>
      <c r="L144" s="66">
        <f t="shared" si="8"/>
        <v>0</v>
      </c>
      <c r="M144" s="66">
        <f t="shared" si="8"/>
        <v>0</v>
      </c>
      <c r="N144" s="66">
        <f t="shared" si="8"/>
        <v>0</v>
      </c>
      <c r="O144" s="66">
        <f t="shared" si="8"/>
        <v>0</v>
      </c>
      <c r="P144" s="101">
        <f t="shared" si="5"/>
        <v>0</v>
      </c>
    </row>
    <row r="145" spans="2:16" x14ac:dyDescent="0.35">
      <c r="B145" s="20" t="s">
        <v>146</v>
      </c>
      <c r="C145" s="66">
        <f t="shared" si="4"/>
        <v>2.4108661763934964E-3</v>
      </c>
      <c r="D145" s="66">
        <f t="shared" si="8"/>
        <v>1.9481534385986433E-3</v>
      </c>
      <c r="E145" s="66">
        <f t="shared" si="8"/>
        <v>1.7954153533795254E-3</v>
      </c>
      <c r="F145" s="66">
        <f t="shared" si="8"/>
        <v>1.6725453233578801E-3</v>
      </c>
      <c r="G145" s="66">
        <f t="shared" si="8"/>
        <v>1.9459074350485696E-3</v>
      </c>
      <c r="H145" s="66">
        <f t="shared" si="8"/>
        <v>2.0439064918471752E-3</v>
      </c>
      <c r="I145" s="66">
        <f t="shared" si="8"/>
        <v>2.2727520271387559E-3</v>
      </c>
      <c r="J145" s="66">
        <f t="shared" si="8"/>
        <v>2.8788407505012698E-3</v>
      </c>
      <c r="K145" s="66">
        <f t="shared" si="8"/>
        <v>2.4536410520710284E-3</v>
      </c>
      <c r="L145" s="66">
        <f t="shared" si="8"/>
        <v>2.3222283934714078E-3</v>
      </c>
      <c r="M145" s="66">
        <f t="shared" si="8"/>
        <v>2.0687984754185632E-3</v>
      </c>
      <c r="N145" s="66">
        <f t="shared" si="8"/>
        <v>1.8012564606228632E-3</v>
      </c>
      <c r="O145" s="66">
        <f t="shared" si="8"/>
        <v>1.8066683624062866E-3</v>
      </c>
      <c r="P145" s="101">
        <f t="shared" si="5"/>
        <v>2.3992521397202052E-3</v>
      </c>
    </row>
    <row r="146" spans="2:16" x14ac:dyDescent="0.35">
      <c r="B146" s="21" t="s">
        <v>178</v>
      </c>
      <c r="C146" s="66">
        <f t="shared" si="4"/>
        <v>2.9112453404082857E-4</v>
      </c>
      <c r="D146" s="66">
        <f t="shared" si="8"/>
        <v>1.3703279308587815E-4</v>
      </c>
      <c r="E146" s="66">
        <f t="shared" si="8"/>
        <v>2.752915829930978E-4</v>
      </c>
      <c r="F146" s="66">
        <f t="shared" si="8"/>
        <v>9.812759975938356E-5</v>
      </c>
      <c r="G146" s="66">
        <f t="shared" si="8"/>
        <v>3.2302925624381269E-4</v>
      </c>
      <c r="H146" s="66">
        <f t="shared" si="8"/>
        <v>2.9541141310534538E-4</v>
      </c>
      <c r="I146" s="66">
        <f t="shared" si="8"/>
        <v>5.62733784787787E-4</v>
      </c>
      <c r="J146" s="66">
        <f t="shared" si="8"/>
        <v>1.1087482450149128E-3</v>
      </c>
      <c r="K146" s="66">
        <f t="shared" si="8"/>
        <v>6.9070633615133249E-4</v>
      </c>
      <c r="L146" s="66">
        <f t="shared" si="8"/>
        <v>5.7836078222336528E-4</v>
      </c>
      <c r="M146" s="66">
        <f t="shared" si="8"/>
        <v>3.0293150568956725E-4</v>
      </c>
      <c r="N146" s="66">
        <f t="shared" si="8"/>
        <v>3.238172297400685E-4</v>
      </c>
      <c r="O146" s="66">
        <f t="shared" si="8"/>
        <v>5.4344926482844649E-4</v>
      </c>
      <c r="P146" s="101">
        <f t="shared" si="5"/>
        <v>6.4869613077339291E-4</v>
      </c>
    </row>
    <row r="147" spans="2:16" x14ac:dyDescent="0.35">
      <c r="B147" s="20" t="s">
        <v>147</v>
      </c>
      <c r="C147" s="66">
        <f t="shared" si="4"/>
        <v>5.4070472841277429E-3</v>
      </c>
      <c r="D147" s="66">
        <f t="shared" si="8"/>
        <v>4.9028926887006675E-3</v>
      </c>
      <c r="E147" s="66">
        <f t="shared" si="8"/>
        <v>4.8535900948226563E-3</v>
      </c>
      <c r="F147" s="66">
        <f t="shared" si="8"/>
        <v>4.6840797718625945E-3</v>
      </c>
      <c r="G147" s="66">
        <f t="shared" si="8"/>
        <v>4.7497238857340737E-3</v>
      </c>
      <c r="H147" s="66">
        <f t="shared" si="8"/>
        <v>4.7595439107394376E-3</v>
      </c>
      <c r="I147" s="66">
        <f t="shared" si="8"/>
        <v>4.7453546696556792E-3</v>
      </c>
      <c r="J147" s="66">
        <f t="shared" si="8"/>
        <v>4.8978810663897693E-3</v>
      </c>
      <c r="K147" s="66">
        <f t="shared" si="8"/>
        <v>5.6375926968629132E-3</v>
      </c>
      <c r="L147" s="66">
        <f t="shared" si="8"/>
        <v>4.6805904468173714E-3</v>
      </c>
      <c r="M147" s="66">
        <f t="shared" si="8"/>
        <v>4.291753933049502E-3</v>
      </c>
      <c r="N147" s="66">
        <f t="shared" si="8"/>
        <v>3.3389819469680482E-3</v>
      </c>
      <c r="O147" s="66">
        <f t="shared" si="8"/>
        <v>3.3585801805246333E-3</v>
      </c>
      <c r="P147" s="101">
        <f t="shared" si="5"/>
        <v>4.8506345625550463E-3</v>
      </c>
    </row>
    <row r="148" spans="2:16" x14ac:dyDescent="0.35">
      <c r="B148" s="21" t="s">
        <v>178</v>
      </c>
      <c r="C148" s="66">
        <f t="shared" si="4"/>
        <v>1.1696268333436473E-3</v>
      </c>
      <c r="D148" s="66">
        <f t="shared" si="8"/>
        <v>1.0014239252170375E-3</v>
      </c>
      <c r="E148" s="66">
        <f t="shared" si="8"/>
        <v>1.1600902566284983E-3</v>
      </c>
      <c r="F148" s="66">
        <f t="shared" si="8"/>
        <v>9.4473180426499497E-4</v>
      </c>
      <c r="G148" s="66">
        <f t="shared" si="8"/>
        <v>9.1786176553954328E-4</v>
      </c>
      <c r="H148" s="66">
        <f t="shared" si="8"/>
        <v>7.6074343025201807E-4</v>
      </c>
      <c r="I148" s="66">
        <f t="shared" si="8"/>
        <v>7.805395999621092E-4</v>
      </c>
      <c r="J148" s="66">
        <f t="shared" si="8"/>
        <v>1.6141134221676237E-3</v>
      </c>
      <c r="K148" s="66">
        <f t="shared" si="8"/>
        <v>2.206870076538108E-3</v>
      </c>
      <c r="L148" s="66">
        <f t="shared" si="8"/>
        <v>1.263981793020648E-3</v>
      </c>
      <c r="M148" s="66">
        <f t="shared" si="8"/>
        <v>1.182528987483821E-3</v>
      </c>
      <c r="N148" s="66">
        <f t="shared" si="8"/>
        <v>8.0423523835882838E-4</v>
      </c>
      <c r="O148" s="66">
        <f t="shared" si="8"/>
        <v>9.6968293411281751E-4</v>
      </c>
      <c r="P148" s="101">
        <f t="shared" si="5"/>
        <v>1.4096067758344621E-3</v>
      </c>
    </row>
    <row r="149" spans="2:16" x14ac:dyDescent="0.35">
      <c r="B149" s="20" t="s">
        <v>148</v>
      </c>
      <c r="C149" s="66">
        <f t="shared" si="4"/>
        <v>4.4292072302139687E-3</v>
      </c>
      <c r="D149" s="66">
        <f t="shared" si="8"/>
        <v>3.8018101853908547E-3</v>
      </c>
      <c r="E149" s="66">
        <f t="shared" si="8"/>
        <v>4.1008781845827853E-3</v>
      </c>
      <c r="F149" s="66">
        <f t="shared" si="8"/>
        <v>3.6283743162962576E-3</v>
      </c>
      <c r="G149" s="66">
        <f t="shared" si="8"/>
        <v>4.3810362906998015E-3</v>
      </c>
      <c r="H149" s="66">
        <f t="shared" si="8"/>
        <v>4.7631628577108212E-3</v>
      </c>
      <c r="I149" s="66">
        <f t="shared" si="8"/>
        <v>4.464425105197998E-3</v>
      </c>
      <c r="J149" s="66">
        <f t="shared" si="8"/>
        <v>3.9618783337503575E-3</v>
      </c>
      <c r="K149" s="66">
        <f t="shared" si="8"/>
        <v>4.1173781670551784E-3</v>
      </c>
      <c r="L149" s="66">
        <f t="shared" si="8"/>
        <v>4.6700718332417521E-3</v>
      </c>
      <c r="M149" s="66">
        <f t="shared" si="8"/>
        <v>4.585995010572887E-3</v>
      </c>
      <c r="N149" s="66">
        <f t="shared" si="8"/>
        <v>4.1982908880205784E-3</v>
      </c>
      <c r="O149" s="66">
        <f t="shared" si="8"/>
        <v>4.5138001236200596E-3</v>
      </c>
      <c r="P149" s="101">
        <f t="shared" si="5"/>
        <v>4.359949689963635E-3</v>
      </c>
    </row>
    <row r="150" spans="2:16" x14ac:dyDescent="0.35">
      <c r="B150" s="20" t="s">
        <v>149</v>
      </c>
      <c r="C150" s="66">
        <f t="shared" si="4"/>
        <v>6.6256711543713253E-3</v>
      </c>
      <c r="D150" s="66">
        <f t="shared" si="8"/>
        <v>6.4697859687700482E-3</v>
      </c>
      <c r="E150" s="66">
        <f t="shared" si="8"/>
        <v>5.8346743269541935E-3</v>
      </c>
      <c r="F150" s="66">
        <f t="shared" si="8"/>
        <v>4.7223003043349605E-3</v>
      </c>
      <c r="G150" s="66">
        <f t="shared" si="8"/>
        <v>5.631020582555722E-3</v>
      </c>
      <c r="H150" s="66">
        <f t="shared" si="8"/>
        <v>6.0956489383572699E-3</v>
      </c>
      <c r="I150" s="66">
        <f t="shared" si="8"/>
        <v>6.1081840394776755E-3</v>
      </c>
      <c r="J150" s="66">
        <f t="shared" si="8"/>
        <v>6.5630311139080093E-3</v>
      </c>
      <c r="K150" s="66">
        <f t="shared" si="8"/>
        <v>6.2195509170208246E-3</v>
      </c>
      <c r="L150" s="66">
        <f t="shared" si="8"/>
        <v>6.3949022354127943E-3</v>
      </c>
      <c r="M150" s="66">
        <f t="shared" si="8"/>
        <v>6.2291867749624842E-3</v>
      </c>
      <c r="N150" s="66">
        <f t="shared" si="8"/>
        <v>5.8176348619116292E-3</v>
      </c>
      <c r="O150" s="66">
        <f t="shared" si="8"/>
        <v>5.7691071952284921E-3</v>
      </c>
      <c r="P150" s="101">
        <f t="shared" si="5"/>
        <v>6.3029710161563585E-3</v>
      </c>
    </row>
    <row r="151" spans="2:16" x14ac:dyDescent="0.35">
      <c r="B151" s="21" t="s">
        <v>178</v>
      </c>
      <c r="C151" s="66">
        <f t="shared" si="4"/>
        <v>4.2039609060799286E-3</v>
      </c>
      <c r="D151" s="66">
        <f t="shared" si="8"/>
        <v>4.2277467395134124E-3</v>
      </c>
      <c r="E151" s="66">
        <f t="shared" si="8"/>
        <v>3.497612809703031E-3</v>
      </c>
      <c r="F151" s="66">
        <f t="shared" si="8"/>
        <v>2.1728355064864623E-3</v>
      </c>
      <c r="G151" s="66">
        <f t="shared" si="8"/>
        <v>3.0091568007886184E-3</v>
      </c>
      <c r="H151" s="66">
        <f t="shared" si="8"/>
        <v>3.513402846565144E-3</v>
      </c>
      <c r="I151" s="66">
        <f t="shared" si="8"/>
        <v>3.6269998676464132E-3</v>
      </c>
      <c r="J151" s="66">
        <f t="shared" si="8"/>
        <v>4.0832345807759593E-3</v>
      </c>
      <c r="K151" s="66">
        <f t="shared" si="8"/>
        <v>3.5091988753762167E-3</v>
      </c>
      <c r="L151" s="66">
        <f t="shared" si="8"/>
        <v>3.7394708307734339E-3</v>
      </c>
      <c r="M151" s="66">
        <f t="shared" si="8"/>
        <v>3.5240947727635257E-3</v>
      </c>
      <c r="N151" s="66">
        <f t="shared" si="8"/>
        <v>3.6916307589039653E-3</v>
      </c>
      <c r="O151" s="66">
        <f t="shared" si="8"/>
        <v>3.777254657430125E-3</v>
      </c>
      <c r="P151" s="101">
        <f t="shared" si="5"/>
        <v>3.6965997854671098E-3</v>
      </c>
    </row>
    <row r="152" spans="2:16" x14ac:dyDescent="0.35">
      <c r="B152" s="20" t="s">
        <v>150</v>
      </c>
      <c r="C152" s="66">
        <f t="shared" si="4"/>
        <v>5.4506695977833428E-3</v>
      </c>
      <c r="D152" s="66">
        <f t="shared" si="8"/>
        <v>5.5531464754478566E-3</v>
      </c>
      <c r="E152" s="66">
        <f t="shared" si="8"/>
        <v>5.5615460659015244E-3</v>
      </c>
      <c r="F152" s="66">
        <f t="shared" si="8"/>
        <v>5.2736041344522804E-3</v>
      </c>
      <c r="G152" s="66">
        <f t="shared" si="8"/>
        <v>3.8735934229651666E-3</v>
      </c>
      <c r="H152" s="66">
        <f t="shared" si="8"/>
        <v>3.9545575794851578E-3</v>
      </c>
      <c r="I152" s="66">
        <f t="shared" si="8"/>
        <v>4.1795018290209495E-3</v>
      </c>
      <c r="J152" s="66">
        <f t="shared" si="8"/>
        <v>3.6353657525970734E-3</v>
      </c>
      <c r="K152" s="66">
        <f t="shared" si="8"/>
        <v>4.1454376737749708E-3</v>
      </c>
      <c r="L152" s="66">
        <f t="shared" si="8"/>
        <v>4.2258159666331797E-3</v>
      </c>
      <c r="M152" s="66">
        <f t="shared" si="8"/>
        <v>4.0618500575951115E-3</v>
      </c>
      <c r="N152" s="66">
        <f t="shared" si="8"/>
        <v>3.8546771675503906E-3</v>
      </c>
      <c r="O152" s="66">
        <f t="shared" si="8"/>
        <v>3.007029621235279E-3</v>
      </c>
      <c r="P152" s="101">
        <f t="shared" si="5"/>
        <v>4.0495942559242567E-3</v>
      </c>
    </row>
    <row r="153" spans="2:16" x14ac:dyDescent="0.35">
      <c r="B153" s="21" t="s">
        <v>178</v>
      </c>
      <c r="C153" s="66">
        <f t="shared" si="4"/>
        <v>1.8071939156618867E-3</v>
      </c>
      <c r="D153" s="66">
        <f t="shared" si="8"/>
        <v>2.3410143520222995E-3</v>
      </c>
      <c r="E153" s="66">
        <f t="shared" si="8"/>
        <v>2.5023251277822849E-3</v>
      </c>
      <c r="F153" s="66">
        <f t="shared" si="8"/>
        <v>1.7822484860451823E-3</v>
      </c>
      <c r="G153" s="66">
        <f t="shared" si="8"/>
        <v>6.0771318744074539E-4</v>
      </c>
      <c r="H153" s="66">
        <f t="shared" si="8"/>
        <v>4.0117641262111999E-4</v>
      </c>
      <c r="I153" s="66">
        <f t="shared" si="8"/>
        <v>5.7082022587245267E-4</v>
      </c>
      <c r="J153" s="66">
        <f t="shared" si="8"/>
        <v>3.5520465382212868E-4</v>
      </c>
      <c r="K153" s="66">
        <f t="shared" si="8"/>
        <v>3.9467152927583418E-4</v>
      </c>
      <c r="L153" s="66">
        <f t="shared" si="8"/>
        <v>6.6356155218587906E-4</v>
      </c>
      <c r="M153" s="66">
        <f t="shared" si="8"/>
        <v>3.2538645072541244E-4</v>
      </c>
      <c r="N153" s="66">
        <f t="shared" si="8"/>
        <v>8.8740067704895075E-4</v>
      </c>
      <c r="O153" s="66">
        <f t="shared" si="8"/>
        <v>5.1807732209141358E-4</v>
      </c>
      <c r="P153" s="101">
        <f t="shared" si="5"/>
        <v>4.6192888237634144E-4</v>
      </c>
    </row>
    <row r="154" spans="2:16" x14ac:dyDescent="0.35">
      <c r="B154" s="8" t="s">
        <v>208</v>
      </c>
      <c r="C154" s="66">
        <f t="shared" si="4"/>
        <v>0</v>
      </c>
      <c r="D154" s="66">
        <f t="shared" si="8"/>
        <v>0</v>
      </c>
      <c r="E154" s="66">
        <f t="shared" si="8"/>
        <v>0</v>
      </c>
      <c r="F154" s="66">
        <f t="shared" si="8"/>
        <v>0</v>
      </c>
      <c r="G154" s="66">
        <f t="shared" si="8"/>
        <v>0</v>
      </c>
      <c r="H154" s="66">
        <f t="shared" si="8"/>
        <v>0</v>
      </c>
      <c r="I154" s="66">
        <f t="shared" si="8"/>
        <v>0</v>
      </c>
      <c r="J154" s="66">
        <f t="shared" si="8"/>
        <v>0</v>
      </c>
      <c r="K154" s="66">
        <f t="shared" si="8"/>
        <v>0</v>
      </c>
      <c r="L154" s="66">
        <f t="shared" si="8"/>
        <v>0</v>
      </c>
      <c r="M154" s="66">
        <f t="shared" si="8"/>
        <v>0</v>
      </c>
      <c r="N154" s="66">
        <f t="shared" si="8"/>
        <v>0</v>
      </c>
      <c r="O154" s="66">
        <f t="shared" si="8"/>
        <v>0</v>
      </c>
      <c r="P154" s="101">
        <f t="shared" si="5"/>
        <v>0</v>
      </c>
    </row>
    <row r="155" spans="2:16" x14ac:dyDescent="0.35">
      <c r="B155" s="20" t="s">
        <v>209</v>
      </c>
      <c r="C155" s="66">
        <f t="shared" si="4"/>
        <v>3.5912424562258125E-3</v>
      </c>
      <c r="D155" s="66">
        <f t="shared" si="8"/>
        <v>3.1950996972472754E-3</v>
      </c>
      <c r="E155" s="66">
        <f t="shared" si="8"/>
        <v>3.471280571329778E-3</v>
      </c>
      <c r="F155" s="66">
        <f t="shared" si="8"/>
        <v>2.87710969486922E-3</v>
      </c>
      <c r="G155" s="66">
        <f t="shared" si="8"/>
        <v>3.0379201579471336E-3</v>
      </c>
      <c r="H155" s="66">
        <f t="shared" si="8"/>
        <v>3.332625401609667E-3</v>
      </c>
      <c r="I155" s="66">
        <f t="shared" si="8"/>
        <v>3.3859084027364518E-3</v>
      </c>
      <c r="J155" s="66">
        <f t="shared" si="8"/>
        <v>4.3636955838412018E-3</v>
      </c>
      <c r="K155" s="66">
        <f t="shared" si="8"/>
        <v>4.320166917452079E-3</v>
      </c>
      <c r="L155" s="66">
        <f t="shared" si="8"/>
        <v>4.1515486288098303E-3</v>
      </c>
      <c r="M155" s="66">
        <f t="shared" si="8"/>
        <v>3.9767819793038849E-3</v>
      </c>
      <c r="N155" s="66">
        <f t="shared" si="8"/>
        <v>4.2320211488399038E-3</v>
      </c>
      <c r="O155" s="66">
        <f t="shared" si="8"/>
        <v>4.7881870458537194E-3</v>
      </c>
      <c r="P155" s="101">
        <f t="shared" si="5"/>
        <v>4.0396203024286896E-3</v>
      </c>
    </row>
    <row r="156" spans="2:16" x14ac:dyDescent="0.35">
      <c r="B156" s="20" t="s">
        <v>210</v>
      </c>
      <c r="C156" s="66">
        <f t="shared" si="4"/>
        <v>6.3426844055243826E-3</v>
      </c>
      <c r="D156" s="66">
        <f t="shared" si="8"/>
        <v>4.7524425884035975E-3</v>
      </c>
      <c r="E156" s="66">
        <f t="shared" si="8"/>
        <v>4.2256947676867088E-3</v>
      </c>
      <c r="F156" s="66">
        <f t="shared" si="8"/>
        <v>4.7042487786104776E-3</v>
      </c>
      <c r="G156" s="66">
        <f t="shared" si="8"/>
        <v>4.5833222794541655E-3</v>
      </c>
      <c r="H156" s="66">
        <f t="shared" si="8"/>
        <v>5.2686600891314354E-3</v>
      </c>
      <c r="I156" s="66">
        <f t="shared" si="8"/>
        <v>4.8535974596032767E-3</v>
      </c>
      <c r="J156" s="66">
        <f t="shared" si="8"/>
        <v>4.7203588849330878E-3</v>
      </c>
      <c r="K156" s="66">
        <f t="shared" si="8"/>
        <v>5.0279644689679931E-3</v>
      </c>
      <c r="L156" s="66">
        <f t="shared" si="8"/>
        <v>4.8125471948709461E-3</v>
      </c>
      <c r="M156" s="66">
        <f t="shared" si="8"/>
        <v>4.5619281312804117E-3</v>
      </c>
      <c r="N156" s="66">
        <f t="shared" si="8"/>
        <v>3.8092550948219399E-3</v>
      </c>
      <c r="O156" s="66">
        <f t="shared" si="8"/>
        <v>3.2954764274551154E-3</v>
      </c>
      <c r="P156" s="101">
        <f t="shared" si="5"/>
        <v>4.7952792279311431E-3</v>
      </c>
    </row>
    <row r="157" spans="2:16" x14ac:dyDescent="0.35">
      <c r="B157" s="20" t="s">
        <v>211</v>
      </c>
      <c r="C157" s="66">
        <f t="shared" si="4"/>
        <v>2.0058694248837952E-3</v>
      </c>
      <c r="D157" s="66">
        <f t="shared" si="8"/>
        <v>1.898135300053975E-3</v>
      </c>
      <c r="E157" s="66">
        <f t="shared" si="8"/>
        <v>1.893456394433879E-3</v>
      </c>
      <c r="F157" s="66">
        <f t="shared" si="8"/>
        <v>2.5089856189511729E-3</v>
      </c>
      <c r="G157" s="66">
        <f t="shared" si="8"/>
        <v>2.6671032367154481E-3</v>
      </c>
      <c r="H157" s="66">
        <f t="shared" si="8"/>
        <v>2.7407491729941605E-3</v>
      </c>
      <c r="I157" s="66">
        <f t="shared" si="8"/>
        <v>2.4518089368706399E-3</v>
      </c>
      <c r="J157" s="66">
        <f t="shared" si="8"/>
        <v>2.3245547879936338E-3</v>
      </c>
      <c r="K157" s="66">
        <f t="shared" si="8"/>
        <v>2.5907135340925342E-3</v>
      </c>
      <c r="L157" s="66">
        <f t="shared" si="8"/>
        <v>2.235946132253936E-3</v>
      </c>
      <c r="M157" s="66">
        <f t="shared" si="8"/>
        <v>1.9665738099089382E-3</v>
      </c>
      <c r="N157" s="66">
        <f t="shared" si="8"/>
        <v>1.665382585119025E-3</v>
      </c>
      <c r="O157" s="66">
        <f t="shared" si="8"/>
        <v>1.2694097233025522E-3</v>
      </c>
      <c r="P157" s="101">
        <f t="shared" si="5"/>
        <v>2.3139194402239361E-3</v>
      </c>
    </row>
    <row r="158" spans="2:16" x14ac:dyDescent="0.35">
      <c r="B158" s="20" t="s">
        <v>212</v>
      </c>
      <c r="C158" s="66">
        <f t="shared" si="4"/>
        <v>2.3512521685778161E-3</v>
      </c>
      <c r="D158" s="66">
        <f t="shared" si="8"/>
        <v>2.2018232789560686E-3</v>
      </c>
      <c r="E158" s="66">
        <f t="shared" si="8"/>
        <v>1.9247713661289393E-3</v>
      </c>
      <c r="F158" s="66">
        <f t="shared" si="8"/>
        <v>2.3966885420102064E-3</v>
      </c>
      <c r="G158" s="66">
        <f t="shared" si="8"/>
        <v>2.3687183131826934E-3</v>
      </c>
      <c r="H158" s="66">
        <f t="shared" si="8"/>
        <v>2.492367080155428E-3</v>
      </c>
      <c r="I158" s="66">
        <f t="shared" si="8"/>
        <v>2.3595739996824837E-3</v>
      </c>
      <c r="J158" s="66">
        <f t="shared" si="8"/>
        <v>2.3119719516556205E-3</v>
      </c>
      <c r="K158" s="66">
        <f t="shared" si="8"/>
        <v>2.3400319887724582E-3</v>
      </c>
      <c r="L158" s="66">
        <f t="shared" si="8"/>
        <v>2.2840799005739163E-3</v>
      </c>
      <c r="M158" s="66">
        <f t="shared" si="8"/>
        <v>3.1543450879317142E-3</v>
      </c>
      <c r="N158" s="66">
        <f t="shared" si="8"/>
        <v>2.5715596619261582E-3</v>
      </c>
      <c r="O158" s="66">
        <f t="shared" si="8"/>
        <v>4.4249502103690091E-3</v>
      </c>
      <c r="P158" s="101">
        <f t="shared" si="5"/>
        <v>2.4900005857232386E-3</v>
      </c>
    </row>
    <row r="159" spans="2:16" x14ac:dyDescent="0.35">
      <c r="B159" s="8" t="s">
        <v>213</v>
      </c>
      <c r="C159" s="66">
        <f t="shared" si="4"/>
        <v>1.1735102601384976E-2</v>
      </c>
      <c r="D159" s="66">
        <f t="shared" si="8"/>
        <v>8.7300626638606629E-3</v>
      </c>
      <c r="E159" s="66">
        <f t="shared" si="8"/>
        <v>9.6552781952220727E-3</v>
      </c>
      <c r="F159" s="66">
        <f t="shared" si="8"/>
        <v>9.4459416799847398E-3</v>
      </c>
      <c r="G159" s="66">
        <f t="shared" si="8"/>
        <v>9.2937234445097591E-3</v>
      </c>
      <c r="H159" s="66">
        <f t="shared" si="8"/>
        <v>9.9114292461886366E-3</v>
      </c>
      <c r="I159" s="66">
        <f t="shared" si="8"/>
        <v>8.6920825160251795E-3</v>
      </c>
      <c r="J159" s="66">
        <f t="shared" si="8"/>
        <v>5.1505636549661251E-3</v>
      </c>
      <c r="K159" s="66">
        <f t="shared" si="8"/>
        <v>5.4356608442281389E-3</v>
      </c>
      <c r="L159" s="66">
        <f t="shared" si="8"/>
        <v>4.9633337427197489E-3</v>
      </c>
      <c r="M159" s="66">
        <f t="shared" si="8"/>
        <v>5.3343109597792969E-3</v>
      </c>
      <c r="N159" s="66">
        <f t="shared" si="8"/>
        <v>4.2713450953185336E-3</v>
      </c>
      <c r="O159" s="66">
        <f t="shared" si="8"/>
        <v>4.3052647796912409E-3</v>
      </c>
      <c r="P159" s="101">
        <f t="shared" si="5"/>
        <v>5.9151903435436977E-3</v>
      </c>
    </row>
    <row r="160" spans="2:16" x14ac:dyDescent="0.35">
      <c r="B160" s="8" t="s">
        <v>214</v>
      </c>
      <c r="C160" s="66">
        <f t="shared" si="4"/>
        <v>0</v>
      </c>
      <c r="D160" s="66">
        <f t="shared" ref="D160:O160" si="9">D70/D$94*100</f>
        <v>0</v>
      </c>
      <c r="E160" s="66">
        <f t="shared" si="9"/>
        <v>0</v>
      </c>
      <c r="F160" s="66">
        <f t="shared" si="9"/>
        <v>0</v>
      </c>
      <c r="G160" s="66">
        <f t="shared" si="9"/>
        <v>0</v>
      </c>
      <c r="H160" s="66">
        <f t="shared" si="9"/>
        <v>0</v>
      </c>
      <c r="I160" s="66">
        <f t="shared" si="9"/>
        <v>0</v>
      </c>
      <c r="J160" s="66">
        <f t="shared" si="9"/>
        <v>0</v>
      </c>
      <c r="K160" s="66">
        <f t="shared" si="9"/>
        <v>0</v>
      </c>
      <c r="L160" s="66">
        <f t="shared" si="9"/>
        <v>0</v>
      </c>
      <c r="M160" s="66">
        <f t="shared" si="9"/>
        <v>0</v>
      </c>
      <c r="N160" s="66">
        <f t="shared" si="9"/>
        <v>0</v>
      </c>
      <c r="O160" s="66">
        <f t="shared" si="9"/>
        <v>0</v>
      </c>
      <c r="P160" s="101">
        <f t="shared" si="5"/>
        <v>0</v>
      </c>
    </row>
    <row r="161" spans="2:16" x14ac:dyDescent="0.35">
      <c r="B161" s="20" t="s">
        <v>215</v>
      </c>
      <c r="C161" s="66">
        <f t="shared" ref="C161:O174" si="10">C71/C$94*100</f>
        <v>6.8698047101879196E-6</v>
      </c>
      <c r="D161" s="66">
        <f t="shared" si="10"/>
        <v>4.7841872897812818E-6</v>
      </c>
      <c r="E161" s="66">
        <f t="shared" si="10"/>
        <v>4.8408761453858742E-6</v>
      </c>
      <c r="F161" s="66">
        <f t="shared" si="10"/>
        <v>1.9921967295152679E-5</v>
      </c>
      <c r="G161" s="66">
        <f t="shared" si="10"/>
        <v>5.2535015198502067E-6</v>
      </c>
      <c r="H161" s="66">
        <f t="shared" si="10"/>
        <v>6.3034240675264926E-6</v>
      </c>
      <c r="I161" s="66">
        <f t="shared" si="10"/>
        <v>6.1555969889393981E-6</v>
      </c>
      <c r="J161" s="66">
        <f t="shared" si="10"/>
        <v>6.3154618053212408E-6</v>
      </c>
      <c r="K161" s="66">
        <f t="shared" si="10"/>
        <v>5.8113248231440918E-6</v>
      </c>
      <c r="L161" s="66">
        <f t="shared" si="10"/>
        <v>6.4889475297480467E-6</v>
      </c>
      <c r="M161" s="66">
        <f t="shared" si="10"/>
        <v>5.5506605706583673E-6</v>
      </c>
      <c r="N161" s="66">
        <f t="shared" si="10"/>
        <v>4.4278674056609218E-6</v>
      </c>
      <c r="O161" s="66">
        <f t="shared" si="10"/>
        <v>7.420197328066062E-6</v>
      </c>
      <c r="P161" s="101">
        <f t="shared" ref="P161:P174" si="11">AVERAGE(I161:M161)</f>
        <v>6.0643983435622286E-6</v>
      </c>
    </row>
    <row r="162" spans="2:16" x14ac:dyDescent="0.35">
      <c r="B162" s="20" t="s">
        <v>216</v>
      </c>
      <c r="C162" s="66">
        <f t="shared" si="10"/>
        <v>2.4456958970233308E-2</v>
      </c>
      <c r="D162" s="66">
        <f t="shared" si="10"/>
        <v>2.320278677111063E-2</v>
      </c>
      <c r="E162" s="66">
        <f t="shared" si="10"/>
        <v>2.1772026651417017E-2</v>
      </c>
      <c r="F162" s="66">
        <f t="shared" si="10"/>
        <v>2.3793093165106527E-2</v>
      </c>
      <c r="G162" s="66">
        <f t="shared" si="10"/>
        <v>2.1206675193279987E-2</v>
      </c>
      <c r="H162" s="66">
        <f t="shared" si="10"/>
        <v>2.6166957485018748E-2</v>
      </c>
      <c r="I162" s="66">
        <f t="shared" si="10"/>
        <v>2.3345769949662729E-2</v>
      </c>
      <c r="J162" s="66">
        <f t="shared" si="10"/>
        <v>2.2592634921265908E-2</v>
      </c>
      <c r="K162" s="66">
        <f t="shared" si="10"/>
        <v>2.0290949508156263E-2</v>
      </c>
      <c r="L162" s="66">
        <f t="shared" si="10"/>
        <v>2.7225164553338926E-2</v>
      </c>
      <c r="M162" s="66">
        <f t="shared" si="10"/>
        <v>2.8336598785078142E-2</v>
      </c>
      <c r="N162" s="66">
        <f t="shared" si="10"/>
        <v>2.2237254551819668E-2</v>
      </c>
      <c r="O162" s="66">
        <f t="shared" si="10"/>
        <v>3.0860932137163309E-2</v>
      </c>
      <c r="P162" s="101">
        <f t="shared" si="11"/>
        <v>2.4358223543500392E-2</v>
      </c>
    </row>
    <row r="163" spans="2:16" x14ac:dyDescent="0.35">
      <c r="B163" s="6" t="s">
        <v>217</v>
      </c>
      <c r="C163" s="66">
        <f t="shared" si="10"/>
        <v>9.915323506295334E-3</v>
      </c>
      <c r="D163" s="66">
        <f t="shared" si="10"/>
        <v>1.0758036490399341E-2</v>
      </c>
      <c r="E163" s="66">
        <f t="shared" si="10"/>
        <v>1.198427158556426E-2</v>
      </c>
      <c r="F163" s="66">
        <f t="shared" si="10"/>
        <v>1.6538938446767674E-2</v>
      </c>
      <c r="G163" s="66">
        <f t="shared" si="10"/>
        <v>1.5768096829188942E-2</v>
      </c>
      <c r="H163" s="66">
        <f t="shared" si="10"/>
        <v>1.5626001369423128E-2</v>
      </c>
      <c r="I163" s="66">
        <f t="shared" si="10"/>
        <v>1.8874545632777219E-2</v>
      </c>
      <c r="J163" s="66">
        <f t="shared" si="10"/>
        <v>1.9314317167941755E-2</v>
      </c>
      <c r="K163" s="66">
        <f t="shared" si="10"/>
        <v>2.0066473454397927E-2</v>
      </c>
      <c r="L163" s="66">
        <f t="shared" si="10"/>
        <v>1.7542751127084259E-2</v>
      </c>
      <c r="M163" s="66">
        <f t="shared" si="10"/>
        <v>1.7622702538137663E-2</v>
      </c>
      <c r="N163" s="66">
        <f t="shared" si="10"/>
        <v>1.5171622459174782E-2</v>
      </c>
      <c r="O163" s="66">
        <f t="shared" si="10"/>
        <v>1.3289776561179046E-2</v>
      </c>
      <c r="P163" s="101">
        <f t="shared" si="11"/>
        <v>1.8684157984067765E-2</v>
      </c>
    </row>
    <row r="164" spans="2:16" x14ac:dyDescent="0.35">
      <c r="B164" s="20" t="s">
        <v>178</v>
      </c>
      <c r="C164" s="66">
        <f t="shared" si="10"/>
        <v>2.0053584476739466E-3</v>
      </c>
      <c r="D164" s="66">
        <f t="shared" si="10"/>
        <v>2.8228683433024881E-3</v>
      </c>
      <c r="E164" s="66">
        <f t="shared" si="10"/>
        <v>3.9397284321678883E-3</v>
      </c>
      <c r="F164" s="66">
        <f t="shared" si="10"/>
        <v>7.889310796982801E-3</v>
      </c>
      <c r="G164" s="66">
        <f t="shared" si="10"/>
        <v>6.9156326053597585E-3</v>
      </c>
      <c r="H164" s="66">
        <f t="shared" si="10"/>
        <v>6.7162728584074247E-3</v>
      </c>
      <c r="I164" s="66">
        <f t="shared" si="10"/>
        <v>9.8575037057353973E-3</v>
      </c>
      <c r="J164" s="66">
        <f t="shared" si="10"/>
        <v>1.0764913025351451E-2</v>
      </c>
      <c r="K164" s="66">
        <f t="shared" si="10"/>
        <v>1.1251862194636694E-2</v>
      </c>
      <c r="L164" s="66">
        <f t="shared" si="10"/>
        <v>8.9424659985816168E-3</v>
      </c>
      <c r="M164" s="66">
        <f t="shared" si="10"/>
        <v>9.1496051602080429E-3</v>
      </c>
      <c r="N164" s="66">
        <f t="shared" si="10"/>
        <v>7.8784540308334261E-3</v>
      </c>
      <c r="O164" s="66">
        <f t="shared" si="10"/>
        <v>6.2440425919326626E-3</v>
      </c>
      <c r="P164" s="101">
        <f t="shared" si="11"/>
        <v>9.993270016902641E-3</v>
      </c>
    </row>
    <row r="165" spans="2:16" x14ac:dyDescent="0.35">
      <c r="B165" s="8" t="s">
        <v>158</v>
      </c>
      <c r="C165" s="66">
        <f t="shared" si="10"/>
        <v>4.8185529390368234E-3</v>
      </c>
      <c r="D165" s="66">
        <f t="shared" si="10"/>
        <v>4.7631620456393487E-3</v>
      </c>
      <c r="E165" s="66">
        <f t="shared" si="10"/>
        <v>5.0655779128376309E-3</v>
      </c>
      <c r="F165" s="66">
        <f t="shared" si="10"/>
        <v>5.1202985083581383E-3</v>
      </c>
      <c r="G165" s="66">
        <f t="shared" si="10"/>
        <v>5.4536058219268931E-3</v>
      </c>
      <c r="H165" s="66">
        <f t="shared" si="10"/>
        <v>5.3446919562532176E-3</v>
      </c>
      <c r="I165" s="66">
        <f t="shared" si="10"/>
        <v>5.3354998394263839E-3</v>
      </c>
      <c r="J165" s="66">
        <f t="shared" si="10"/>
        <v>5.2166035093770989E-3</v>
      </c>
      <c r="K165" s="66">
        <f t="shared" si="10"/>
        <v>5.6725697055169571E-3</v>
      </c>
      <c r="L165" s="66">
        <f t="shared" si="10"/>
        <v>6.0260100128312274E-3</v>
      </c>
      <c r="M165" s="66">
        <f t="shared" si="10"/>
        <v>5.6300097865434606E-3</v>
      </c>
      <c r="N165" s="66">
        <f t="shared" si="10"/>
        <v>5.2689940658729919E-3</v>
      </c>
      <c r="O165" s="66">
        <f t="shared" si="10"/>
        <v>5.0091571008668906E-3</v>
      </c>
      <c r="P165" s="101">
        <f t="shared" si="11"/>
        <v>5.5761385707390251E-3</v>
      </c>
    </row>
    <row r="166" spans="2:16" x14ac:dyDescent="0.35">
      <c r="B166" s="8" t="s">
        <v>159</v>
      </c>
      <c r="C166" s="66">
        <f t="shared" si="10"/>
        <v>0</v>
      </c>
      <c r="D166" s="66">
        <f t="shared" si="10"/>
        <v>0</v>
      </c>
      <c r="E166" s="66">
        <f t="shared" si="10"/>
        <v>0</v>
      </c>
      <c r="F166" s="66">
        <f t="shared" si="10"/>
        <v>0</v>
      </c>
      <c r="G166" s="66">
        <f t="shared" si="10"/>
        <v>0</v>
      </c>
      <c r="H166" s="66">
        <f t="shared" si="10"/>
        <v>0</v>
      </c>
      <c r="I166" s="66">
        <f t="shared" si="10"/>
        <v>0</v>
      </c>
      <c r="J166" s="66">
        <f t="shared" si="10"/>
        <v>0</v>
      </c>
      <c r="K166" s="66">
        <f t="shared" si="10"/>
        <v>0</v>
      </c>
      <c r="L166" s="66">
        <f t="shared" si="10"/>
        <v>0</v>
      </c>
      <c r="M166" s="66">
        <f t="shared" si="10"/>
        <v>0</v>
      </c>
      <c r="N166" s="66">
        <f t="shared" si="10"/>
        <v>0</v>
      </c>
      <c r="O166" s="66">
        <f t="shared" si="10"/>
        <v>0</v>
      </c>
      <c r="P166" s="101">
        <f t="shared" si="11"/>
        <v>0</v>
      </c>
    </row>
    <row r="167" spans="2:16" x14ac:dyDescent="0.35">
      <c r="B167" s="8" t="s">
        <v>160</v>
      </c>
      <c r="C167" s="66">
        <f t="shared" si="10"/>
        <v>0</v>
      </c>
      <c r="D167" s="66">
        <f t="shared" si="10"/>
        <v>0</v>
      </c>
      <c r="E167" s="66">
        <f t="shared" si="10"/>
        <v>0</v>
      </c>
      <c r="F167" s="66">
        <f t="shared" si="10"/>
        <v>0</v>
      </c>
      <c r="G167" s="66">
        <f t="shared" si="10"/>
        <v>0</v>
      </c>
      <c r="H167" s="66">
        <f t="shared" si="10"/>
        <v>0</v>
      </c>
      <c r="I167" s="66">
        <f t="shared" si="10"/>
        <v>0</v>
      </c>
      <c r="J167" s="66">
        <f t="shared" si="10"/>
        <v>0</v>
      </c>
      <c r="K167" s="66">
        <f t="shared" si="10"/>
        <v>0</v>
      </c>
      <c r="L167" s="66">
        <f t="shared" si="10"/>
        <v>0</v>
      </c>
      <c r="M167" s="66">
        <f t="shared" si="10"/>
        <v>0</v>
      </c>
      <c r="N167" s="66">
        <f t="shared" si="10"/>
        <v>0</v>
      </c>
      <c r="O167" s="66">
        <f t="shared" si="10"/>
        <v>0</v>
      </c>
      <c r="P167" s="101">
        <f t="shared" si="11"/>
        <v>0</v>
      </c>
    </row>
    <row r="168" spans="2:16" x14ac:dyDescent="0.35">
      <c r="B168" s="8" t="s">
        <v>161</v>
      </c>
      <c r="C168" s="66">
        <f t="shared" si="10"/>
        <v>5.0967705672585106E-3</v>
      </c>
      <c r="D168" s="66">
        <f t="shared" si="10"/>
        <v>5.9948744447599935E-3</v>
      </c>
      <c r="E168" s="66">
        <f t="shared" si="10"/>
        <v>6.9186936727266279E-3</v>
      </c>
      <c r="F168" s="66">
        <f t="shared" si="10"/>
        <v>1.1418639938409534E-2</v>
      </c>
      <c r="G168" s="66">
        <f t="shared" si="10"/>
        <v>1.0314491007262049E-2</v>
      </c>
      <c r="H168" s="66">
        <f t="shared" si="10"/>
        <v>1.0281309413169909E-2</v>
      </c>
      <c r="I168" s="66">
        <f t="shared" si="10"/>
        <v>1.3539045793350834E-2</v>
      </c>
      <c r="J168" s="66">
        <f t="shared" si="10"/>
        <v>1.4097713658564657E-2</v>
      </c>
      <c r="K168" s="66">
        <f t="shared" si="10"/>
        <v>1.4393903748880971E-2</v>
      </c>
      <c r="L168" s="66">
        <f t="shared" si="10"/>
        <v>1.1516741114253033E-2</v>
      </c>
      <c r="M168" s="66">
        <f t="shared" si="10"/>
        <v>1.1992692751594203E-2</v>
      </c>
      <c r="N168" s="66">
        <f t="shared" si="10"/>
        <v>9.9026283933017906E-3</v>
      </c>
      <c r="O168" s="66">
        <f t="shared" si="10"/>
        <v>8.2806194603121559E-3</v>
      </c>
      <c r="P168" s="101">
        <f t="shared" si="11"/>
        <v>1.310801941332874E-2</v>
      </c>
    </row>
    <row r="169" spans="2:16" x14ac:dyDescent="0.35">
      <c r="B169" s="6" t="s">
        <v>218</v>
      </c>
      <c r="C169" s="66">
        <f t="shared" si="10"/>
        <v>0</v>
      </c>
      <c r="D169" s="66">
        <f t="shared" si="10"/>
        <v>0</v>
      </c>
      <c r="E169" s="66">
        <f t="shared" si="10"/>
        <v>0</v>
      </c>
      <c r="F169" s="66">
        <f t="shared" si="10"/>
        <v>0</v>
      </c>
      <c r="G169" s="66">
        <f t="shared" si="10"/>
        <v>0</v>
      </c>
      <c r="H169" s="66">
        <f t="shared" si="10"/>
        <v>0</v>
      </c>
      <c r="I169" s="66">
        <f t="shared" si="10"/>
        <v>0</v>
      </c>
      <c r="J169" s="66">
        <f t="shared" si="10"/>
        <v>0</v>
      </c>
      <c r="K169" s="66">
        <f t="shared" si="10"/>
        <v>0</v>
      </c>
      <c r="L169" s="66">
        <f t="shared" si="10"/>
        <v>0</v>
      </c>
      <c r="M169" s="66">
        <f t="shared" si="10"/>
        <v>0</v>
      </c>
      <c r="N169" s="66">
        <f t="shared" si="10"/>
        <v>0</v>
      </c>
      <c r="O169" s="66">
        <f t="shared" si="10"/>
        <v>0</v>
      </c>
      <c r="P169" s="101">
        <f t="shared" si="11"/>
        <v>0</v>
      </c>
    </row>
    <row r="170" spans="2:16" x14ac:dyDescent="0.35">
      <c r="B170" s="6" t="s">
        <v>219</v>
      </c>
      <c r="C170" s="66">
        <f t="shared" si="10"/>
        <v>2.1700615424736558E-2</v>
      </c>
      <c r="D170" s="66">
        <f t="shared" si="10"/>
        <v>2.7701487576490793E-2</v>
      </c>
      <c r="E170" s="66">
        <f t="shared" si="10"/>
        <v>2.672895969926279E-2</v>
      </c>
      <c r="F170" s="66">
        <f t="shared" si="10"/>
        <v>2.5690709075576603E-2</v>
      </c>
      <c r="G170" s="66">
        <f t="shared" si="10"/>
        <v>2.4453094783639513E-2</v>
      </c>
      <c r="H170" s="66">
        <f t="shared" si="10"/>
        <v>2.3321309820938579E-2</v>
      </c>
      <c r="I170" s="66">
        <f t="shared" si="10"/>
        <v>2.2437266545271034E-2</v>
      </c>
      <c r="J170" s="66">
        <f t="shared" si="10"/>
        <v>2.2203384478422201E-2</v>
      </c>
      <c r="K170" s="66">
        <f t="shared" si="10"/>
        <v>2.3197718096839418E-2</v>
      </c>
      <c r="L170" s="66">
        <f t="shared" si="10"/>
        <v>2.3495930852115848E-2</v>
      </c>
      <c r="M170" s="66">
        <f t="shared" si="10"/>
        <v>2.3067423986086341E-2</v>
      </c>
      <c r="N170" s="66">
        <f t="shared" si="10"/>
        <v>2.756623220880074E-2</v>
      </c>
      <c r="O170" s="66">
        <f t="shared" si="10"/>
        <v>3.0238469531910644E-2</v>
      </c>
      <c r="P170" s="101">
        <f t="shared" si="11"/>
        <v>2.2880344791746967E-2</v>
      </c>
    </row>
    <row r="171" spans="2:16" x14ac:dyDescent="0.35">
      <c r="B171" s="8" t="s">
        <v>164</v>
      </c>
      <c r="C171" s="66">
        <f t="shared" si="10"/>
        <v>6.2541907228113279E-3</v>
      </c>
      <c r="D171" s="66">
        <f t="shared" si="10"/>
        <v>1.1613362846613021E-2</v>
      </c>
      <c r="E171" s="66">
        <f t="shared" si="10"/>
        <v>9.6933668470912619E-3</v>
      </c>
      <c r="F171" s="66">
        <f t="shared" si="10"/>
        <v>8.2138853465195949E-3</v>
      </c>
      <c r="G171" s="66">
        <f t="shared" si="10"/>
        <v>5.8217523586651006E-3</v>
      </c>
      <c r="H171" s="66">
        <f t="shared" si="10"/>
        <v>4.1065533522832501E-3</v>
      </c>
      <c r="I171" s="66">
        <f t="shared" si="10"/>
        <v>2.9431179930575428E-3</v>
      </c>
      <c r="J171" s="66">
        <f t="shared" si="10"/>
        <v>2.2388632681681329E-3</v>
      </c>
      <c r="K171" s="66">
        <f t="shared" si="10"/>
        <v>2.5872236232067857E-3</v>
      </c>
      <c r="L171" s="66">
        <f t="shared" si="10"/>
        <v>2.5102152775010262E-3</v>
      </c>
      <c r="M171" s="66">
        <f t="shared" si="10"/>
        <v>2.2364957053866356E-3</v>
      </c>
      <c r="N171" s="66">
        <f t="shared" si="10"/>
        <v>1.0058904088244371E-2</v>
      </c>
      <c r="O171" s="66">
        <f t="shared" si="10"/>
        <v>2.0453314181953716E-2</v>
      </c>
      <c r="P171" s="101">
        <f t="shared" si="11"/>
        <v>2.5031831734640248E-3</v>
      </c>
    </row>
    <row r="172" spans="2:16" x14ac:dyDescent="0.35">
      <c r="B172" s="8" t="s">
        <v>165</v>
      </c>
      <c r="C172" s="66">
        <f t="shared" si="10"/>
        <v>1.5064024498139948E-2</v>
      </c>
      <c r="D172" s="66">
        <f t="shared" si="10"/>
        <v>1.571017393398505E-2</v>
      </c>
      <c r="E172" s="66">
        <f t="shared" si="10"/>
        <v>1.6648641939187598E-2</v>
      </c>
      <c r="F172" s="66">
        <f t="shared" si="10"/>
        <v>1.7476823729057012E-2</v>
      </c>
      <c r="G172" s="66">
        <f t="shared" si="10"/>
        <v>1.8631342424974412E-2</v>
      </c>
      <c r="H172" s="66">
        <f t="shared" si="10"/>
        <v>1.9214756468655333E-2</v>
      </c>
      <c r="I172" s="66">
        <f t="shared" si="10"/>
        <v>1.949414855221349E-2</v>
      </c>
      <c r="J172" s="66">
        <f t="shared" si="10"/>
        <v>1.9964521210254067E-2</v>
      </c>
      <c r="K172" s="66">
        <f t="shared" si="10"/>
        <v>2.0610494473632633E-2</v>
      </c>
      <c r="L172" s="66">
        <f t="shared" si="10"/>
        <v>2.0985715574614823E-2</v>
      </c>
      <c r="M172" s="66">
        <f t="shared" si="10"/>
        <v>2.0830928280699705E-2</v>
      </c>
      <c r="N172" s="66">
        <f t="shared" si="10"/>
        <v>1.750732812055637E-2</v>
      </c>
      <c r="O172" s="66">
        <f t="shared" si="10"/>
        <v>9.7851553499569283E-3</v>
      </c>
      <c r="P172" s="101">
        <f t="shared" si="11"/>
        <v>2.0377161618282947E-2</v>
      </c>
    </row>
    <row r="173" spans="2:16" x14ac:dyDescent="0.35">
      <c r="B173" s="8" t="s">
        <v>166</v>
      </c>
      <c r="C173" s="66">
        <f t="shared" si="10"/>
        <v>3.8240020378528126E-4</v>
      </c>
      <c r="D173" s="66">
        <f t="shared" si="10"/>
        <v>3.7795079589272125E-4</v>
      </c>
      <c r="E173" s="66">
        <f t="shared" si="10"/>
        <v>3.8695091298392137E-4</v>
      </c>
      <c r="F173" s="66">
        <f t="shared" si="10"/>
        <v>0</v>
      </c>
      <c r="G173" s="66">
        <f t="shared" si="10"/>
        <v>0</v>
      </c>
      <c r="H173" s="66">
        <f t="shared" si="10"/>
        <v>0</v>
      </c>
      <c r="I173" s="66">
        <f t="shared" si="10"/>
        <v>0</v>
      </c>
      <c r="J173" s="66">
        <f t="shared" si="10"/>
        <v>0</v>
      </c>
      <c r="K173" s="66">
        <f t="shared" si="10"/>
        <v>0</v>
      </c>
      <c r="L173" s="66">
        <f t="shared" si="10"/>
        <v>0</v>
      </c>
      <c r="M173" s="66">
        <f t="shared" si="10"/>
        <v>0</v>
      </c>
      <c r="N173" s="66">
        <f t="shared" si="10"/>
        <v>0</v>
      </c>
      <c r="O173" s="66">
        <f t="shared" si="10"/>
        <v>0</v>
      </c>
      <c r="P173" s="101">
        <f t="shared" si="11"/>
        <v>0</v>
      </c>
    </row>
    <row r="174" spans="2:16" x14ac:dyDescent="0.35">
      <c r="B174" s="24" t="s">
        <v>220</v>
      </c>
      <c r="C174" s="66">
        <f t="shared" si="10"/>
        <v>0</v>
      </c>
      <c r="D174" s="66">
        <f t="shared" si="10"/>
        <v>0</v>
      </c>
      <c r="E174" s="66">
        <f t="shared" si="10"/>
        <v>0</v>
      </c>
      <c r="F174" s="66">
        <f t="shared" si="10"/>
        <v>0</v>
      </c>
      <c r="G174" s="66">
        <f t="shared" si="10"/>
        <v>0</v>
      </c>
      <c r="H174" s="66">
        <f t="shared" si="10"/>
        <v>0</v>
      </c>
      <c r="I174" s="66">
        <f t="shared" si="10"/>
        <v>0</v>
      </c>
      <c r="J174" s="66">
        <f t="shared" si="10"/>
        <v>0</v>
      </c>
      <c r="K174" s="66">
        <f t="shared" si="10"/>
        <v>0</v>
      </c>
      <c r="L174" s="66">
        <f t="shared" si="10"/>
        <v>0</v>
      </c>
      <c r="M174" s="66">
        <f t="shared" si="10"/>
        <v>0</v>
      </c>
      <c r="N174" s="66">
        <f t="shared" si="10"/>
        <v>0</v>
      </c>
      <c r="O174" s="66">
        <f t="shared" si="10"/>
        <v>0</v>
      </c>
      <c r="P174" s="101">
        <f t="shared" si="11"/>
        <v>0</v>
      </c>
    </row>
  </sheetData>
  <hyperlinks>
    <hyperlink ref="B86" r:id="rId1" xr:uid="{E4273969-E6F8-4F1D-975A-34DD0DEA9C1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7229F-70BA-40C2-9396-DD23FC8486B8}">
  <dimension ref="B2:P120"/>
  <sheetViews>
    <sheetView workbookViewId="0">
      <pane xSplit="2" ySplit="5" topLeftCell="E6" activePane="bottomRight" state="frozen"/>
      <selection pane="topRight" activeCell="C1" sqref="C1"/>
      <selection pane="bottomLeft" activeCell="A6" sqref="A6"/>
      <selection pane="bottomRight" activeCell="P15" sqref="P15"/>
    </sheetView>
  </sheetViews>
  <sheetFormatPr defaultColWidth="8.7265625" defaultRowHeight="14.5" x14ac:dyDescent="0.35"/>
  <cols>
    <col min="1" max="1" width="8.7265625" style="2"/>
    <col min="2" max="2" width="40.7265625" style="2" customWidth="1"/>
    <col min="3" max="11" width="8.7265625" style="2"/>
    <col min="12" max="12" width="10.1796875" style="2" customWidth="1"/>
    <col min="13" max="13" width="11.1796875" style="2" customWidth="1"/>
    <col min="14" max="15" width="10.7265625" style="2" customWidth="1"/>
    <col min="16" max="16" width="11.453125" style="2" customWidth="1"/>
    <col min="17" max="16384" width="8.7265625" style="2"/>
  </cols>
  <sheetData>
    <row r="2" spans="2:16" x14ac:dyDescent="0.35">
      <c r="B2" s="1" t="s">
        <v>113</v>
      </c>
      <c r="L2" s="4"/>
    </row>
    <row r="3" spans="2:16" x14ac:dyDescent="0.35">
      <c r="B3" s="3" t="s">
        <v>114</v>
      </c>
    </row>
    <row r="5" spans="2:16" x14ac:dyDescent="0.35">
      <c r="B5" s="5"/>
      <c r="C5" s="5">
        <v>2009</v>
      </c>
      <c r="D5" s="5">
        <v>2010</v>
      </c>
      <c r="E5" s="5">
        <v>2011</v>
      </c>
      <c r="F5" s="5">
        <v>2012</v>
      </c>
      <c r="G5" s="5">
        <v>2013</v>
      </c>
      <c r="H5" s="5">
        <v>2014</v>
      </c>
      <c r="I5" s="5">
        <v>2015</v>
      </c>
      <c r="J5" s="5">
        <v>2016</v>
      </c>
      <c r="K5" s="5">
        <v>2017</v>
      </c>
      <c r="L5" s="5">
        <v>2018</v>
      </c>
      <c r="M5" s="5">
        <v>2019</v>
      </c>
      <c r="N5" s="5">
        <v>2020</v>
      </c>
      <c r="O5" s="5">
        <v>2021</v>
      </c>
      <c r="P5" s="51">
        <v>2022</v>
      </c>
    </row>
    <row r="6" spans="2:16" x14ac:dyDescent="0.35">
      <c r="B6" s="2" t="s">
        <v>115</v>
      </c>
      <c r="C6" s="4">
        <v>9920.8310000000001</v>
      </c>
      <c r="D6" s="4">
        <v>14665.662</v>
      </c>
      <c r="E6" s="4">
        <v>15945.159</v>
      </c>
      <c r="F6" s="4">
        <v>13872.107</v>
      </c>
      <c r="G6" s="4">
        <v>16387.583999999999</v>
      </c>
      <c r="H6" s="4">
        <v>17893.435000000001</v>
      </c>
      <c r="I6" s="4">
        <v>16817.991999999998</v>
      </c>
      <c r="J6" s="4">
        <v>17378.714</v>
      </c>
      <c r="K6" s="4">
        <v>20347.678</v>
      </c>
      <c r="L6" s="4">
        <v>20214.742999999999</v>
      </c>
      <c r="M6" s="4">
        <v>20408.262999999999</v>
      </c>
      <c r="N6" s="4">
        <v>21260.225999999999</v>
      </c>
      <c r="O6" s="4">
        <v>29960.305</v>
      </c>
    </row>
    <row r="7" spans="2:16" x14ac:dyDescent="0.35">
      <c r="B7" s="2" t="s">
        <v>116</v>
      </c>
      <c r="C7" s="4">
        <v>11705.956</v>
      </c>
      <c r="D7" s="4">
        <v>12220.735000000001</v>
      </c>
      <c r="E7" s="4">
        <v>12899.001</v>
      </c>
      <c r="F7" s="4">
        <v>12920.316000000001</v>
      </c>
      <c r="G7" s="4">
        <v>13897.334999999999</v>
      </c>
      <c r="H7" s="4">
        <v>14493.700999999999</v>
      </c>
      <c r="I7" s="4">
        <v>15148.587</v>
      </c>
      <c r="J7" s="4">
        <v>16439.707999999999</v>
      </c>
      <c r="K7" s="4">
        <v>17231.834999999999</v>
      </c>
      <c r="L7" s="4">
        <v>17709.267</v>
      </c>
      <c r="M7" s="4">
        <v>18531.534</v>
      </c>
      <c r="N7" s="4">
        <v>19549.749</v>
      </c>
      <c r="O7" s="4">
        <v>21848.312000000002</v>
      </c>
      <c r="P7" s="52">
        <f>P8+P13</f>
        <v>25224.207135598139</v>
      </c>
    </row>
    <row r="8" spans="2:16" x14ac:dyDescent="0.35">
      <c r="B8" s="2" t="s">
        <v>117</v>
      </c>
      <c r="C8" s="4">
        <v>2469.6880000000001</v>
      </c>
      <c r="D8" s="4">
        <v>2826.6970000000001</v>
      </c>
      <c r="E8" s="4">
        <v>3180.8629999999998</v>
      </c>
      <c r="F8" s="4">
        <v>2651.7629999999999</v>
      </c>
      <c r="G8" s="4">
        <v>2714.2269999999999</v>
      </c>
      <c r="H8" s="4">
        <v>3124.3020000000001</v>
      </c>
      <c r="I8" s="4">
        <v>3041.1579999999999</v>
      </c>
      <c r="J8" s="4">
        <v>3326.6579999999999</v>
      </c>
      <c r="K8" s="4">
        <v>3098.7829999999999</v>
      </c>
      <c r="L8" s="4">
        <v>3210.7289999999998</v>
      </c>
      <c r="M8" s="4">
        <v>3084.4389999999999</v>
      </c>
      <c r="N8" s="4">
        <v>4057.71</v>
      </c>
      <c r="O8" s="4">
        <v>6159.2520000000004</v>
      </c>
      <c r="P8" s="52">
        <f>P69*$P$67</f>
        <v>7514.7771046404887</v>
      </c>
    </row>
    <row r="9" spans="2:16" x14ac:dyDescent="0.35">
      <c r="B9" s="6" t="s">
        <v>118</v>
      </c>
      <c r="C9" s="4">
        <v>2469.6880000000001</v>
      </c>
      <c r="D9" s="4">
        <v>2826.6970000000001</v>
      </c>
      <c r="E9" s="4">
        <v>3180.8629999999998</v>
      </c>
      <c r="F9" s="4">
        <v>2651.7629999999999</v>
      </c>
      <c r="G9" s="4">
        <v>2714.2269999999999</v>
      </c>
      <c r="H9" s="4">
        <v>3124.3020000000001</v>
      </c>
      <c r="I9" s="4">
        <v>3041.1579999999999</v>
      </c>
      <c r="J9" s="4">
        <v>3326.6579999999999</v>
      </c>
      <c r="K9" s="4">
        <v>3098.7829999999999</v>
      </c>
      <c r="L9" s="4">
        <v>3210.7289999999998</v>
      </c>
      <c r="M9" s="4">
        <v>3084.4389999999999</v>
      </c>
      <c r="N9" s="4">
        <v>4057.71</v>
      </c>
      <c r="O9" s="4">
        <v>6159.2520000000004</v>
      </c>
      <c r="P9" s="52">
        <f>P70*$P$67</f>
        <v>7514.7771046404887</v>
      </c>
    </row>
    <row r="10" spans="2:16" x14ac:dyDescent="0.35">
      <c r="B10" s="6" t="s">
        <v>119</v>
      </c>
      <c r="C10" s="4">
        <v>0</v>
      </c>
      <c r="D10" s="4">
        <v>0</v>
      </c>
      <c r="E10" s="4">
        <v>0</v>
      </c>
      <c r="F10" s="4">
        <v>0</v>
      </c>
      <c r="G10" s="4">
        <v>0</v>
      </c>
      <c r="H10" s="4">
        <v>0</v>
      </c>
      <c r="I10" s="4">
        <v>0</v>
      </c>
      <c r="J10" s="4">
        <v>0</v>
      </c>
      <c r="K10" s="4">
        <v>0</v>
      </c>
      <c r="L10" s="4">
        <v>0</v>
      </c>
      <c r="M10" s="4">
        <v>0</v>
      </c>
      <c r="N10" s="4">
        <v>0</v>
      </c>
      <c r="O10" s="4">
        <v>0</v>
      </c>
      <c r="P10" s="52">
        <f>P72*$P$67</f>
        <v>0</v>
      </c>
    </row>
    <row r="11" spans="2:16" x14ac:dyDescent="0.35">
      <c r="B11" s="6" t="s">
        <v>120</v>
      </c>
      <c r="C11" s="4">
        <v>0</v>
      </c>
      <c r="D11" s="4">
        <v>0</v>
      </c>
      <c r="E11" s="4">
        <v>0</v>
      </c>
      <c r="F11" s="4">
        <v>0</v>
      </c>
      <c r="G11" s="4">
        <v>0</v>
      </c>
      <c r="H11" s="4">
        <v>0</v>
      </c>
      <c r="I11" s="4">
        <v>0</v>
      </c>
      <c r="J11" s="4">
        <v>0</v>
      </c>
      <c r="K11" s="4">
        <v>0</v>
      </c>
      <c r="L11" s="4">
        <v>0</v>
      </c>
      <c r="M11" s="4">
        <v>0</v>
      </c>
      <c r="N11" s="4">
        <v>0</v>
      </c>
      <c r="O11" s="4">
        <v>0</v>
      </c>
      <c r="P11" s="52">
        <f>P73*$P$67</f>
        <v>0</v>
      </c>
    </row>
    <row r="12" spans="2:16" x14ac:dyDescent="0.35">
      <c r="C12" s="4"/>
      <c r="D12" s="4"/>
      <c r="E12" s="4"/>
      <c r="F12" s="4"/>
      <c r="G12" s="4"/>
      <c r="H12" s="4"/>
      <c r="I12" s="4"/>
      <c r="J12" s="4"/>
      <c r="K12" s="4"/>
      <c r="L12" s="4"/>
      <c r="M12" s="4"/>
      <c r="N12" s="4"/>
      <c r="O12" s="4"/>
      <c r="P12" s="52"/>
    </row>
    <row r="13" spans="2:16" x14ac:dyDescent="0.35">
      <c r="B13" s="2" t="s">
        <v>121</v>
      </c>
      <c r="C13" s="4">
        <v>9236.268</v>
      </c>
      <c r="D13" s="4">
        <v>9394.0380000000005</v>
      </c>
      <c r="E13" s="4">
        <v>9718.1380000000008</v>
      </c>
      <c r="F13" s="4">
        <v>10268.553</v>
      </c>
      <c r="G13" s="4">
        <v>11183.108</v>
      </c>
      <c r="H13" s="4">
        <v>11369.398999999999</v>
      </c>
      <c r="I13" s="4">
        <v>12107.429</v>
      </c>
      <c r="J13" s="4">
        <v>13113.05</v>
      </c>
      <c r="K13" s="4">
        <v>14133.052</v>
      </c>
      <c r="L13" s="4">
        <v>14498.538</v>
      </c>
      <c r="M13" s="4">
        <v>15447.094999999999</v>
      </c>
      <c r="N13" s="4">
        <v>15492.039000000001</v>
      </c>
      <c r="O13" s="4">
        <v>15689.06</v>
      </c>
      <c r="P13" s="52">
        <f t="shared" ref="P13:P59" si="0">P$67*P74</f>
        <v>17709.43003095765</v>
      </c>
    </row>
    <row r="14" spans="2:16" x14ac:dyDescent="0.35">
      <c r="B14" s="6" t="s">
        <v>122</v>
      </c>
      <c r="C14" s="4">
        <v>6568.433</v>
      </c>
      <c r="D14" s="4">
        <v>6756.9750000000004</v>
      </c>
      <c r="E14" s="4">
        <v>6751.8580000000002</v>
      </c>
      <c r="F14" s="4">
        <v>7447.6459999999997</v>
      </c>
      <c r="G14" s="4">
        <v>8061.7049999999999</v>
      </c>
      <c r="H14" s="4">
        <v>8122.4139999999998</v>
      </c>
      <c r="I14" s="4">
        <v>8709.5280000000002</v>
      </c>
      <c r="J14" s="4">
        <v>9239.4169999999995</v>
      </c>
      <c r="K14" s="4">
        <v>9457.2870000000003</v>
      </c>
      <c r="L14" s="4">
        <v>10363.369000000001</v>
      </c>
      <c r="M14" s="4">
        <v>11079.5</v>
      </c>
      <c r="N14" s="4">
        <v>10885.495999999999</v>
      </c>
      <c r="O14" s="4">
        <v>11224.550999999999</v>
      </c>
      <c r="P14" s="52">
        <f t="shared" si="0"/>
        <v>12489.802266105929</v>
      </c>
    </row>
    <row r="15" spans="2:16" x14ac:dyDescent="0.35">
      <c r="B15" s="8" t="s">
        <v>123</v>
      </c>
      <c r="C15" s="4">
        <v>1333.5830000000001</v>
      </c>
      <c r="D15" s="4">
        <v>1393.152</v>
      </c>
      <c r="E15" s="4">
        <v>1324.771</v>
      </c>
      <c r="F15" s="4">
        <v>1310.5899999999999</v>
      </c>
      <c r="G15" s="4">
        <v>1328.624</v>
      </c>
      <c r="H15" s="4">
        <v>1391.7170000000001</v>
      </c>
      <c r="I15" s="4">
        <v>1531.27</v>
      </c>
      <c r="J15" s="4">
        <v>1629.213</v>
      </c>
      <c r="K15" s="4">
        <v>1759.711</v>
      </c>
      <c r="L15" s="4">
        <v>1928.566</v>
      </c>
      <c r="M15" s="4">
        <v>2060.154</v>
      </c>
      <c r="N15" s="4">
        <v>2259.0250000000001</v>
      </c>
      <c r="O15" s="4">
        <v>2321.0059999999999</v>
      </c>
      <c r="P15" s="52">
        <f t="shared" si="0"/>
        <v>2274.8633794637817</v>
      </c>
    </row>
    <row r="16" spans="2:16" x14ac:dyDescent="0.35">
      <c r="B16" s="8" t="s">
        <v>124</v>
      </c>
      <c r="C16" s="4">
        <v>3495.5050000000001</v>
      </c>
      <c r="D16" s="4">
        <v>3400.931</v>
      </c>
      <c r="E16" s="4">
        <v>3711.3649999999998</v>
      </c>
      <c r="F16" s="4">
        <v>3995.6860000000001</v>
      </c>
      <c r="G16" s="4">
        <v>4341.308</v>
      </c>
      <c r="H16" s="4">
        <v>4300.2860000000001</v>
      </c>
      <c r="I16" s="4">
        <v>4538.1419999999998</v>
      </c>
      <c r="J16" s="4">
        <v>4765.5889999999999</v>
      </c>
      <c r="K16" s="4">
        <v>4790.1130000000003</v>
      </c>
      <c r="L16" s="4">
        <v>5183.5190000000002</v>
      </c>
      <c r="M16" s="4">
        <v>5572.7370000000001</v>
      </c>
      <c r="N16" s="4">
        <v>5541.2259999999997</v>
      </c>
      <c r="O16" s="4">
        <v>4687.9870000000001</v>
      </c>
      <c r="P16" s="52">
        <f t="shared" si="0"/>
        <v>6358.7643819123305</v>
      </c>
    </row>
    <row r="17" spans="2:16" x14ac:dyDescent="0.35">
      <c r="B17" s="20" t="s">
        <v>125</v>
      </c>
      <c r="C17" s="4">
        <v>2622.4740000000002</v>
      </c>
      <c r="D17" s="4">
        <v>2473.989</v>
      </c>
      <c r="E17" s="4">
        <v>2674.9160000000002</v>
      </c>
      <c r="F17" s="4">
        <v>2888.616</v>
      </c>
      <c r="G17" s="4">
        <v>3118.31</v>
      </c>
      <c r="H17" s="4">
        <v>3043.4319999999998</v>
      </c>
      <c r="I17" s="4">
        <v>3216.373</v>
      </c>
      <c r="J17" s="4">
        <v>3439.4769999999999</v>
      </c>
      <c r="K17" s="4">
        <v>3462.5740000000001</v>
      </c>
      <c r="L17" s="4">
        <v>3774.3249999999998</v>
      </c>
      <c r="M17" s="4">
        <v>4089.0189999999998</v>
      </c>
      <c r="N17" s="4">
        <v>4081.172</v>
      </c>
      <c r="O17" s="4">
        <v>3629.797</v>
      </c>
      <c r="P17" s="52">
        <f t="shared" si="0"/>
        <v>4598.8482754998631</v>
      </c>
    </row>
    <row r="18" spans="2:16" x14ac:dyDescent="0.35">
      <c r="B18" s="20" t="s">
        <v>126</v>
      </c>
      <c r="C18" s="4">
        <v>873.03099999999995</v>
      </c>
      <c r="D18" s="4">
        <v>926.94200000000001</v>
      </c>
      <c r="E18" s="4">
        <v>1036.4490000000001</v>
      </c>
      <c r="F18" s="4">
        <v>1107.07</v>
      </c>
      <c r="G18" s="4">
        <v>1222.998</v>
      </c>
      <c r="H18" s="4">
        <v>1256.854</v>
      </c>
      <c r="I18" s="4">
        <v>1321.769</v>
      </c>
      <c r="J18" s="4">
        <v>1326.1120000000001</v>
      </c>
      <c r="K18" s="4">
        <v>1327.539</v>
      </c>
      <c r="L18" s="4">
        <v>1409.194</v>
      </c>
      <c r="M18" s="4">
        <v>1483.7180000000001</v>
      </c>
      <c r="N18" s="4">
        <v>1460.0540000000001</v>
      </c>
      <c r="O18" s="4">
        <v>1058.19</v>
      </c>
      <c r="P18" s="52">
        <f t="shared" si="0"/>
        <v>1759.9161064124667</v>
      </c>
    </row>
    <row r="19" spans="2:16" x14ac:dyDescent="0.35">
      <c r="B19" s="21" t="s">
        <v>127</v>
      </c>
      <c r="C19" s="4">
        <v>164.13</v>
      </c>
      <c r="D19" s="4">
        <v>154.69</v>
      </c>
      <c r="E19" s="4">
        <v>170.46</v>
      </c>
      <c r="F19" s="4">
        <v>165.25399999999999</v>
      </c>
      <c r="G19" s="4">
        <v>167.24100000000001</v>
      </c>
      <c r="H19" s="4">
        <v>167.59</v>
      </c>
      <c r="I19" s="4">
        <v>167.27099999999999</v>
      </c>
      <c r="J19" s="4">
        <v>171.27099999999999</v>
      </c>
      <c r="K19" s="4">
        <v>168.24299999999999</v>
      </c>
      <c r="L19" s="4">
        <v>176.03200000000001</v>
      </c>
      <c r="M19" s="4">
        <v>178.511</v>
      </c>
      <c r="N19" s="4">
        <v>169.197</v>
      </c>
      <c r="O19" s="4">
        <v>148.738</v>
      </c>
      <c r="P19" s="52">
        <f t="shared" si="0"/>
        <v>220.81047383241486</v>
      </c>
    </row>
    <row r="20" spans="2:16" x14ac:dyDescent="0.35">
      <c r="B20" s="21" t="s">
        <v>128</v>
      </c>
      <c r="C20" s="4">
        <v>47.241999999999997</v>
      </c>
      <c r="D20" s="4">
        <v>44.073999999999998</v>
      </c>
      <c r="E20" s="4">
        <v>48.054000000000002</v>
      </c>
      <c r="F20" s="4">
        <v>48.853999999999999</v>
      </c>
      <c r="G20" s="4">
        <v>48.962000000000003</v>
      </c>
      <c r="H20" s="4">
        <v>48.305</v>
      </c>
      <c r="I20" s="4">
        <v>50.280999999999999</v>
      </c>
      <c r="J20" s="4">
        <v>50.59</v>
      </c>
      <c r="K20" s="4">
        <v>51.167000000000002</v>
      </c>
      <c r="L20" s="4">
        <v>51.383000000000003</v>
      </c>
      <c r="M20" s="4">
        <v>51.912999999999997</v>
      </c>
      <c r="N20" s="4">
        <v>50.673999999999999</v>
      </c>
      <c r="O20" s="4">
        <v>45.177999999999997</v>
      </c>
      <c r="P20" s="52">
        <f t="shared" si="0"/>
        <v>65.478419312645912</v>
      </c>
    </row>
    <row r="21" spans="2:16" x14ac:dyDescent="0.35">
      <c r="B21" s="21" t="s">
        <v>129</v>
      </c>
      <c r="C21" s="4">
        <v>88.144999999999996</v>
      </c>
      <c r="D21" s="4">
        <v>105.523</v>
      </c>
      <c r="E21" s="4">
        <v>125.797</v>
      </c>
      <c r="F21" s="4">
        <v>121.971</v>
      </c>
      <c r="G21" s="4">
        <v>112.104</v>
      </c>
      <c r="H21" s="4">
        <v>107.685</v>
      </c>
      <c r="I21" s="4">
        <v>129.65899999999999</v>
      </c>
      <c r="J21" s="4">
        <v>124.89</v>
      </c>
      <c r="K21" s="4">
        <v>124.16</v>
      </c>
      <c r="L21" s="4">
        <v>120.386</v>
      </c>
      <c r="M21" s="4">
        <v>111.803</v>
      </c>
      <c r="N21" s="4">
        <v>111.92</v>
      </c>
      <c r="O21" s="4">
        <v>108.529</v>
      </c>
      <c r="P21" s="52">
        <f t="shared" si="0"/>
        <v>157.01517936916079</v>
      </c>
    </row>
    <row r="22" spans="2:16" x14ac:dyDescent="0.35">
      <c r="B22" s="21" t="s">
        <v>130</v>
      </c>
      <c r="C22" s="4">
        <v>263.26499999999999</v>
      </c>
      <c r="D22" s="4">
        <v>288.33699999999999</v>
      </c>
      <c r="E22" s="4">
        <v>239.48400000000001</v>
      </c>
      <c r="F22" s="4">
        <v>301.99200000000002</v>
      </c>
      <c r="G22" s="4">
        <v>324.47000000000003</v>
      </c>
      <c r="H22" s="4">
        <v>326.42</v>
      </c>
      <c r="I22" s="4">
        <v>321.55599999999998</v>
      </c>
      <c r="J22" s="4">
        <v>290.44400000000002</v>
      </c>
      <c r="K22" s="4">
        <v>241.85</v>
      </c>
      <c r="L22" s="4">
        <v>236.21299999999999</v>
      </c>
      <c r="M22" s="4">
        <v>266.351</v>
      </c>
      <c r="N22" s="4">
        <v>280.33</v>
      </c>
      <c r="O22" s="4">
        <v>254.113</v>
      </c>
      <c r="P22" s="52">
        <f t="shared" si="0"/>
        <v>350.27699728173934</v>
      </c>
    </row>
    <row r="23" spans="2:16" x14ac:dyDescent="0.35">
      <c r="B23" s="21" t="s">
        <v>131</v>
      </c>
      <c r="C23" s="4">
        <v>310.24900000000002</v>
      </c>
      <c r="D23" s="4">
        <v>334.31799999999998</v>
      </c>
      <c r="E23" s="4">
        <v>452.654</v>
      </c>
      <c r="F23" s="4">
        <v>468.99900000000002</v>
      </c>
      <c r="G23" s="4">
        <v>570.221</v>
      </c>
      <c r="H23" s="4">
        <v>606.85400000000004</v>
      </c>
      <c r="I23" s="4">
        <v>653.00199999999995</v>
      </c>
      <c r="J23" s="4">
        <v>688.91700000000003</v>
      </c>
      <c r="K23" s="4">
        <v>742.11900000000003</v>
      </c>
      <c r="L23" s="4">
        <v>825.18</v>
      </c>
      <c r="M23" s="4">
        <v>875.14</v>
      </c>
      <c r="N23" s="4">
        <v>847.93299999999999</v>
      </c>
      <c r="O23" s="4">
        <v>501.63200000000001</v>
      </c>
      <c r="P23" s="52">
        <f t="shared" si="0"/>
        <v>966.3350366165057</v>
      </c>
    </row>
    <row r="24" spans="2:16" x14ac:dyDescent="0.35">
      <c r="B24" s="8" t="s">
        <v>132</v>
      </c>
      <c r="C24" s="4">
        <v>1338.702</v>
      </c>
      <c r="D24" s="4">
        <v>1527.79</v>
      </c>
      <c r="E24" s="4">
        <v>1247.2909999999999</v>
      </c>
      <c r="F24" s="4">
        <v>1540.7460000000001</v>
      </c>
      <c r="G24" s="4">
        <v>1735.7180000000001</v>
      </c>
      <c r="H24" s="4">
        <v>1745.461</v>
      </c>
      <c r="I24" s="4">
        <v>1987.915</v>
      </c>
      <c r="J24" s="4">
        <v>2116.13</v>
      </c>
      <c r="K24" s="4">
        <v>2095.6010000000001</v>
      </c>
      <c r="L24" s="4">
        <v>2430.0320000000002</v>
      </c>
      <c r="M24" s="4">
        <v>2568.259</v>
      </c>
      <c r="N24" s="4">
        <v>2359.0929999999998</v>
      </c>
      <c r="O24" s="4">
        <v>3354.69</v>
      </c>
      <c r="P24" s="52">
        <f t="shared" si="0"/>
        <v>2862.645460732233</v>
      </c>
    </row>
    <row r="25" spans="2:16" x14ac:dyDescent="0.35">
      <c r="B25" s="8" t="s">
        <v>133</v>
      </c>
      <c r="C25" s="4">
        <v>78.596999999999994</v>
      </c>
      <c r="D25" s="4">
        <v>79.852999999999994</v>
      </c>
      <c r="E25" s="4">
        <v>67.858999999999995</v>
      </c>
      <c r="F25" s="4">
        <v>80.256</v>
      </c>
      <c r="G25" s="4">
        <v>123.661</v>
      </c>
      <c r="H25" s="4">
        <v>126.045</v>
      </c>
      <c r="I25" s="4">
        <v>72.248999999999995</v>
      </c>
      <c r="J25" s="4">
        <v>108.169</v>
      </c>
      <c r="K25" s="4">
        <v>184.84</v>
      </c>
      <c r="L25" s="4">
        <v>146.83099999999999</v>
      </c>
      <c r="M25" s="4">
        <v>190.48400000000001</v>
      </c>
      <c r="N25" s="4">
        <v>43.679000000000002</v>
      </c>
      <c r="O25" s="4">
        <v>191.42599999999999</v>
      </c>
      <c r="P25" s="52">
        <f t="shared" si="0"/>
        <v>177.47388340447401</v>
      </c>
    </row>
    <row r="26" spans="2:16" x14ac:dyDescent="0.35">
      <c r="B26" s="8" t="s">
        <v>134</v>
      </c>
      <c r="C26" s="4">
        <v>217.32400000000001</v>
      </c>
      <c r="D26" s="4">
        <v>226.88200000000001</v>
      </c>
      <c r="E26" s="4">
        <v>261.84300000000002</v>
      </c>
      <c r="F26" s="4">
        <v>374.08199999999999</v>
      </c>
      <c r="G26" s="4">
        <v>346.27800000000002</v>
      </c>
      <c r="H26" s="4">
        <v>345.82799999999997</v>
      </c>
      <c r="I26" s="4">
        <v>362.67200000000003</v>
      </c>
      <c r="J26" s="4">
        <v>377.589</v>
      </c>
      <c r="K26" s="4">
        <v>380.49700000000001</v>
      </c>
      <c r="L26" s="4">
        <v>407.78699999999998</v>
      </c>
      <c r="M26" s="4">
        <v>439.96600000000001</v>
      </c>
      <c r="N26" s="4">
        <v>443.48399999999998</v>
      </c>
      <c r="O26" s="4">
        <v>434.59300000000002</v>
      </c>
      <c r="P26" s="52">
        <f t="shared" si="0"/>
        <v>503.83335176478334</v>
      </c>
    </row>
    <row r="27" spans="2:16" x14ac:dyDescent="0.35">
      <c r="B27" s="8" t="s">
        <v>135</v>
      </c>
      <c r="C27" s="4">
        <v>104.72199999999999</v>
      </c>
      <c r="D27" s="4">
        <v>128.36699999999999</v>
      </c>
      <c r="E27" s="4">
        <v>138.72900000000001</v>
      </c>
      <c r="F27" s="4">
        <v>146.286</v>
      </c>
      <c r="G27" s="4">
        <v>186.11600000000001</v>
      </c>
      <c r="H27" s="4">
        <v>213.077</v>
      </c>
      <c r="I27" s="4">
        <v>217.28</v>
      </c>
      <c r="J27" s="4">
        <v>242.727</v>
      </c>
      <c r="K27" s="4">
        <v>246.52500000000001</v>
      </c>
      <c r="L27" s="4">
        <v>266.63400000000001</v>
      </c>
      <c r="M27" s="4">
        <v>247.9</v>
      </c>
      <c r="N27" s="4">
        <v>238.989</v>
      </c>
      <c r="O27" s="4">
        <v>234.84899999999999</v>
      </c>
      <c r="P27" s="52">
        <f t="shared" si="0"/>
        <v>312.22180882832669</v>
      </c>
    </row>
    <row r="28" spans="2:16" x14ac:dyDescent="0.35">
      <c r="B28" s="6" t="s">
        <v>136</v>
      </c>
      <c r="C28" s="4">
        <v>2667.835</v>
      </c>
      <c r="D28" s="4">
        <v>2637.0630000000001</v>
      </c>
      <c r="E28" s="4">
        <v>2966.28</v>
      </c>
      <c r="F28" s="4">
        <v>2820.9070000000002</v>
      </c>
      <c r="G28" s="4">
        <v>3121.4029999999998</v>
      </c>
      <c r="H28" s="4">
        <v>3246.9850000000001</v>
      </c>
      <c r="I28" s="4">
        <v>3397.9009999999998</v>
      </c>
      <c r="J28" s="4">
        <v>3873.6329999999998</v>
      </c>
      <c r="K28" s="4">
        <v>4675.7650000000003</v>
      </c>
      <c r="L28" s="4">
        <v>4135.1689999999999</v>
      </c>
      <c r="M28" s="4">
        <v>4367.5950000000003</v>
      </c>
      <c r="N28" s="4">
        <v>4606.5429999999997</v>
      </c>
      <c r="O28" s="4">
        <v>4464.509</v>
      </c>
      <c r="P28" s="52">
        <f t="shared" si="0"/>
        <v>5219.6277648517234</v>
      </c>
    </row>
    <row r="29" spans="2:16" x14ac:dyDescent="0.35">
      <c r="B29" s="8" t="s">
        <v>137</v>
      </c>
      <c r="C29" s="4">
        <v>1877.4770000000001</v>
      </c>
      <c r="D29" s="4">
        <v>1937.731</v>
      </c>
      <c r="E29" s="4">
        <v>2168.75</v>
      </c>
      <c r="F29" s="4">
        <v>2211.3389999999999</v>
      </c>
      <c r="G29" s="4">
        <v>2254.6610000000001</v>
      </c>
      <c r="H29" s="4">
        <v>2335.9189999999999</v>
      </c>
      <c r="I29" s="4">
        <v>2393.7339999999999</v>
      </c>
      <c r="J29" s="4">
        <v>2510.337</v>
      </c>
      <c r="K29" s="4">
        <v>2697.415</v>
      </c>
      <c r="L29" s="4">
        <v>2527.1880000000001</v>
      </c>
      <c r="M29" s="4">
        <v>2599.4569999999999</v>
      </c>
      <c r="N29" s="4">
        <v>2487.4830000000002</v>
      </c>
      <c r="O29" s="4">
        <v>2232.5720000000001</v>
      </c>
      <c r="P29" s="52">
        <f t="shared" si="0"/>
        <v>3260.0153640201811</v>
      </c>
    </row>
    <row r="30" spans="2:16" x14ac:dyDescent="0.35">
      <c r="B30" s="20" t="s">
        <v>138</v>
      </c>
      <c r="C30" s="4">
        <v>350.78500000000003</v>
      </c>
      <c r="D30" s="4">
        <v>361.26</v>
      </c>
      <c r="E30" s="4">
        <v>497.51</v>
      </c>
      <c r="F30" s="4">
        <v>409.286</v>
      </c>
      <c r="G30" s="4">
        <v>415.36799999999999</v>
      </c>
      <c r="H30" s="4">
        <v>409.82799999999997</v>
      </c>
      <c r="I30" s="4">
        <v>429.24599999999998</v>
      </c>
      <c r="J30" s="4">
        <v>450.29399999999998</v>
      </c>
      <c r="K30" s="4">
        <v>442.57600000000002</v>
      </c>
      <c r="L30" s="4">
        <v>429.21199999999999</v>
      </c>
      <c r="M30" s="4">
        <v>430.10199999999998</v>
      </c>
      <c r="N30" s="4">
        <v>408.75</v>
      </c>
      <c r="O30" s="4">
        <v>333.38</v>
      </c>
      <c r="P30" s="52">
        <f t="shared" si="0"/>
        <v>559.68769070646488</v>
      </c>
    </row>
    <row r="31" spans="2:16" x14ac:dyDescent="0.35">
      <c r="B31" s="21" t="s">
        <v>139</v>
      </c>
      <c r="C31" s="4">
        <v>316.75799999999998</v>
      </c>
      <c r="D31" s="4">
        <v>330.99599999999998</v>
      </c>
      <c r="E31" s="4">
        <v>461.75900000000001</v>
      </c>
      <c r="F31" s="4">
        <v>373.32</v>
      </c>
      <c r="G31" s="4">
        <v>380.69600000000003</v>
      </c>
      <c r="H31" s="4">
        <v>378.077</v>
      </c>
      <c r="I31" s="4">
        <v>398.447</v>
      </c>
      <c r="J31" s="4">
        <v>417.40100000000001</v>
      </c>
      <c r="K31" s="4">
        <v>410.17099999999999</v>
      </c>
      <c r="L31" s="4">
        <v>397.59399999999999</v>
      </c>
      <c r="M31" s="4">
        <v>398.10399999999998</v>
      </c>
      <c r="N31" s="4">
        <v>383.21300000000002</v>
      </c>
      <c r="O31" s="4">
        <v>328.27100000000002</v>
      </c>
      <c r="P31" s="52">
        <f t="shared" si="0"/>
        <v>518.73256340700482</v>
      </c>
    </row>
    <row r="32" spans="2:16" x14ac:dyDescent="0.35">
      <c r="B32" s="21" t="s">
        <v>140</v>
      </c>
      <c r="C32" s="4">
        <v>24.32</v>
      </c>
      <c r="D32" s="4">
        <v>23.32</v>
      </c>
      <c r="E32" s="4">
        <v>27.385000000000002</v>
      </c>
      <c r="F32" s="4">
        <v>26.661999999999999</v>
      </c>
      <c r="G32" s="4">
        <v>25.893999999999998</v>
      </c>
      <c r="H32" s="4">
        <v>23.492000000000001</v>
      </c>
      <c r="I32" s="4">
        <v>22.472999999999999</v>
      </c>
      <c r="J32" s="4">
        <v>24.472000000000001</v>
      </c>
      <c r="K32" s="4">
        <v>23.670999999999999</v>
      </c>
      <c r="L32" s="4">
        <v>23.408999999999999</v>
      </c>
      <c r="M32" s="4">
        <v>23.059000000000001</v>
      </c>
      <c r="N32" s="4">
        <v>19.058</v>
      </c>
      <c r="O32" s="4">
        <v>2.7909999999999999</v>
      </c>
      <c r="P32" s="52">
        <f t="shared" si="0"/>
        <v>30.023231834982784</v>
      </c>
    </row>
    <row r="33" spans="2:16" x14ac:dyDescent="0.35">
      <c r="B33" s="20" t="s">
        <v>141</v>
      </c>
      <c r="C33" s="4">
        <v>479.93</v>
      </c>
      <c r="D33" s="4">
        <v>511.322</v>
      </c>
      <c r="E33" s="4">
        <v>526.80700000000002</v>
      </c>
      <c r="F33" s="4">
        <v>562.16</v>
      </c>
      <c r="G33" s="4">
        <v>591.41999999999996</v>
      </c>
      <c r="H33" s="4">
        <v>621.72</v>
      </c>
      <c r="I33" s="4">
        <v>669.18399999999997</v>
      </c>
      <c r="J33" s="4">
        <v>650.37699999999995</v>
      </c>
      <c r="K33" s="4">
        <v>685.952</v>
      </c>
      <c r="L33" s="4">
        <v>452.55700000000002</v>
      </c>
      <c r="M33" s="4">
        <v>453.70600000000002</v>
      </c>
      <c r="N33" s="4">
        <v>466.02800000000002</v>
      </c>
      <c r="O33" s="4">
        <v>498.96</v>
      </c>
      <c r="P33" s="52">
        <f t="shared" si="0"/>
        <v>751.3452838880778</v>
      </c>
    </row>
    <row r="34" spans="2:16" x14ac:dyDescent="0.35">
      <c r="B34" s="20" t="s">
        <v>142</v>
      </c>
      <c r="C34" s="4">
        <v>3.968</v>
      </c>
      <c r="D34" s="4">
        <v>4.1180000000000003</v>
      </c>
      <c r="E34" s="4">
        <v>4.4379999999999997</v>
      </c>
      <c r="F34" s="4">
        <v>7.9450000000000003</v>
      </c>
      <c r="G34" s="4">
        <v>7.92</v>
      </c>
      <c r="H34" s="4">
        <v>7.242</v>
      </c>
      <c r="I34" s="4">
        <v>7.3419999999999996</v>
      </c>
      <c r="J34" s="4">
        <v>7.2190000000000003</v>
      </c>
      <c r="K34" s="4">
        <v>4.6340000000000003</v>
      </c>
      <c r="L34" s="4">
        <v>4.7690000000000001</v>
      </c>
      <c r="M34" s="4">
        <v>4.774</v>
      </c>
      <c r="N34" s="4">
        <v>4.5629999999999997</v>
      </c>
      <c r="O34" s="4">
        <v>4.7210000000000001</v>
      </c>
      <c r="P34" s="52">
        <f t="shared" si="0"/>
        <v>7.4552531186642552</v>
      </c>
    </row>
    <row r="35" spans="2:16" x14ac:dyDescent="0.35">
      <c r="B35" s="20" t="s">
        <v>143</v>
      </c>
      <c r="C35" s="4">
        <v>279.27999999999997</v>
      </c>
      <c r="D35" s="4">
        <v>321.46100000000001</v>
      </c>
      <c r="E35" s="4">
        <v>337.65300000000002</v>
      </c>
      <c r="F35" s="4">
        <v>379.91199999999998</v>
      </c>
      <c r="G35" s="4">
        <v>375.57499999999999</v>
      </c>
      <c r="H35" s="4">
        <v>374.59100000000001</v>
      </c>
      <c r="I35" s="4">
        <v>357.01799999999997</v>
      </c>
      <c r="J35" s="4">
        <v>384.56</v>
      </c>
      <c r="K35" s="4">
        <v>430.14100000000002</v>
      </c>
      <c r="L35" s="4">
        <v>483.411</v>
      </c>
      <c r="M35" s="4">
        <v>494.83499999999998</v>
      </c>
      <c r="N35" s="4">
        <v>417.72500000000002</v>
      </c>
      <c r="O35" s="4">
        <v>256.23</v>
      </c>
      <c r="P35" s="52">
        <f t="shared" si="0"/>
        <v>548.30236971889826</v>
      </c>
    </row>
    <row r="36" spans="2:16" x14ac:dyDescent="0.35">
      <c r="B36" s="20" t="s">
        <v>144</v>
      </c>
      <c r="C36" s="4">
        <v>10.349</v>
      </c>
      <c r="D36" s="4">
        <v>10.347</v>
      </c>
      <c r="E36" s="4">
        <v>10.247</v>
      </c>
      <c r="F36" s="4">
        <v>10.997</v>
      </c>
      <c r="G36" s="4">
        <v>11.067</v>
      </c>
      <c r="H36" s="4">
        <v>11.618</v>
      </c>
      <c r="I36" s="4">
        <v>11.547000000000001</v>
      </c>
      <c r="J36" s="4">
        <v>11.52</v>
      </c>
      <c r="K36" s="4">
        <v>10.858000000000001</v>
      </c>
      <c r="L36" s="4">
        <v>10.967000000000001</v>
      </c>
      <c r="M36" s="4">
        <v>10.946999999999999</v>
      </c>
      <c r="N36" s="4">
        <v>10.183</v>
      </c>
      <c r="O36" s="4">
        <v>8.8979999999999997</v>
      </c>
      <c r="P36" s="52">
        <f t="shared" si="0"/>
        <v>14.346257071749935</v>
      </c>
    </row>
    <row r="37" spans="2:16" x14ac:dyDescent="0.35">
      <c r="B37" s="20" t="s">
        <v>145</v>
      </c>
      <c r="C37" s="4">
        <v>73.191999999999993</v>
      </c>
      <c r="D37" s="4">
        <v>71.649000000000001</v>
      </c>
      <c r="E37" s="4">
        <v>85.064999999999998</v>
      </c>
      <c r="F37" s="4">
        <v>94.495000000000005</v>
      </c>
      <c r="G37" s="4">
        <v>104.376</v>
      </c>
      <c r="H37" s="4">
        <v>118.34</v>
      </c>
      <c r="I37" s="4">
        <v>116.878</v>
      </c>
      <c r="J37" s="4">
        <v>119.35899999999999</v>
      </c>
      <c r="K37" s="4">
        <v>136.31700000000001</v>
      </c>
      <c r="L37" s="4">
        <v>157.98400000000001</v>
      </c>
      <c r="M37" s="4">
        <v>187.25399999999999</v>
      </c>
      <c r="N37" s="4">
        <v>180.791</v>
      </c>
      <c r="O37" s="4">
        <v>175.22300000000001</v>
      </c>
      <c r="P37" s="52">
        <f t="shared" si="0"/>
        <v>182.93702914412626</v>
      </c>
    </row>
    <row r="38" spans="2:16" x14ac:dyDescent="0.35">
      <c r="B38" s="20" t="s">
        <v>146</v>
      </c>
      <c r="C38" s="4">
        <v>14.853999999999999</v>
      </c>
      <c r="D38" s="4">
        <v>17.199000000000002</v>
      </c>
      <c r="E38" s="4">
        <v>18.481999999999999</v>
      </c>
      <c r="F38" s="4">
        <v>19.536000000000001</v>
      </c>
      <c r="G38" s="4">
        <v>21.388000000000002</v>
      </c>
      <c r="H38" s="4">
        <v>20.713000000000001</v>
      </c>
      <c r="I38" s="4">
        <v>18.145</v>
      </c>
      <c r="J38" s="4">
        <v>19.709</v>
      </c>
      <c r="K38" s="4">
        <v>22.97</v>
      </c>
      <c r="L38" s="4">
        <v>24.297000000000001</v>
      </c>
      <c r="M38" s="4">
        <v>23.986999999999998</v>
      </c>
      <c r="N38" s="4">
        <v>22.58</v>
      </c>
      <c r="O38" s="4">
        <v>22.446999999999999</v>
      </c>
      <c r="P38" s="52">
        <f t="shared" si="0"/>
        <v>27.825868573520889</v>
      </c>
    </row>
    <row r="39" spans="2:16" x14ac:dyDescent="0.35">
      <c r="B39" s="20" t="s">
        <v>147</v>
      </c>
      <c r="C39" s="4">
        <v>34.578000000000003</v>
      </c>
      <c r="D39" s="4">
        <v>38.234999999999999</v>
      </c>
      <c r="E39" s="4">
        <v>37.866</v>
      </c>
      <c r="F39" s="4">
        <v>40.207999999999998</v>
      </c>
      <c r="G39" s="4">
        <v>42.338999999999999</v>
      </c>
      <c r="H39" s="4">
        <v>42.698999999999998</v>
      </c>
      <c r="I39" s="4">
        <v>41.781999999999996</v>
      </c>
      <c r="J39" s="4">
        <v>43.396999999999998</v>
      </c>
      <c r="K39" s="4">
        <v>47.405000000000001</v>
      </c>
      <c r="L39" s="4">
        <v>51.914999999999999</v>
      </c>
      <c r="M39" s="4">
        <v>55.664999999999999</v>
      </c>
      <c r="N39" s="4">
        <v>45.91</v>
      </c>
      <c r="O39" s="4">
        <v>31.358000000000001</v>
      </c>
      <c r="P39" s="52">
        <f t="shared" si="0"/>
        <v>61.335187136081601</v>
      </c>
    </row>
    <row r="40" spans="2:16" x14ac:dyDescent="0.35">
      <c r="B40" s="20" t="s">
        <v>148</v>
      </c>
      <c r="C40" s="4">
        <v>36.866</v>
      </c>
      <c r="D40" s="4">
        <v>38.429000000000002</v>
      </c>
      <c r="E40" s="4">
        <v>38.421999999999997</v>
      </c>
      <c r="F40" s="4">
        <v>20.163</v>
      </c>
      <c r="G40" s="4">
        <v>19.456</v>
      </c>
      <c r="H40" s="4">
        <v>20.861999999999998</v>
      </c>
      <c r="I40" s="4">
        <v>21.384</v>
      </c>
      <c r="J40" s="4">
        <v>22.084</v>
      </c>
      <c r="K40" s="4">
        <v>34.130000000000003</v>
      </c>
      <c r="L40" s="4">
        <v>34.941000000000003</v>
      </c>
      <c r="M40" s="4">
        <v>36.761000000000003</v>
      </c>
      <c r="N40" s="4">
        <v>37.404000000000003</v>
      </c>
      <c r="O40" s="4">
        <v>36.866</v>
      </c>
      <c r="P40" s="52">
        <f t="shared" si="0"/>
        <v>37.880677517540022</v>
      </c>
    </row>
    <row r="41" spans="2:16" x14ac:dyDescent="0.35">
      <c r="B41" s="20" t="s">
        <v>149</v>
      </c>
      <c r="C41" s="4">
        <v>299.27199999999999</v>
      </c>
      <c r="D41" s="4">
        <v>354.60599999999999</v>
      </c>
      <c r="E41" s="4">
        <v>395.17099999999999</v>
      </c>
      <c r="F41" s="4">
        <v>424.245</v>
      </c>
      <c r="G41" s="4">
        <v>423.60700000000003</v>
      </c>
      <c r="H41" s="4">
        <v>456.10599999999999</v>
      </c>
      <c r="I41" s="4">
        <v>460.77600000000001</v>
      </c>
      <c r="J41" s="4">
        <v>487.55099999999999</v>
      </c>
      <c r="K41" s="4">
        <v>527.89700000000005</v>
      </c>
      <c r="L41" s="4">
        <v>521.27099999999996</v>
      </c>
      <c r="M41" s="4">
        <v>530.35</v>
      </c>
      <c r="N41" s="4">
        <v>537.27200000000005</v>
      </c>
      <c r="O41" s="4">
        <v>528.73</v>
      </c>
      <c r="P41" s="52">
        <f t="shared" si="0"/>
        <v>646.71632845297381</v>
      </c>
    </row>
    <row r="42" spans="2:16" x14ac:dyDescent="0.35">
      <c r="B42" s="20" t="s">
        <v>150</v>
      </c>
      <c r="C42" s="4">
        <v>138.37</v>
      </c>
      <c r="D42" s="4">
        <v>116.554</v>
      </c>
      <c r="E42" s="4">
        <v>122.342</v>
      </c>
      <c r="F42" s="4">
        <v>143.12899999999999</v>
      </c>
      <c r="G42" s="4">
        <v>141.476</v>
      </c>
      <c r="H42" s="4">
        <v>150.315</v>
      </c>
      <c r="I42" s="4">
        <v>152.08699999999999</v>
      </c>
      <c r="J42" s="4">
        <v>157.81700000000001</v>
      </c>
      <c r="K42" s="4">
        <v>181.19900000000001</v>
      </c>
      <c r="L42" s="4">
        <v>175.03</v>
      </c>
      <c r="M42" s="4">
        <v>191.01400000000001</v>
      </c>
      <c r="N42" s="4">
        <v>184.89</v>
      </c>
      <c r="O42" s="4">
        <v>167.80500000000001</v>
      </c>
      <c r="P42" s="52">
        <f t="shared" si="0"/>
        <v>219.07316357349333</v>
      </c>
    </row>
    <row r="43" spans="2:16" x14ac:dyDescent="0.35">
      <c r="B43" s="20" t="s">
        <v>151</v>
      </c>
      <c r="C43" s="4">
        <v>156.03299999999999</v>
      </c>
      <c r="D43" s="4">
        <v>92.551000000000002</v>
      </c>
      <c r="E43" s="4">
        <v>94.747</v>
      </c>
      <c r="F43" s="4">
        <v>99.263000000000005</v>
      </c>
      <c r="G43" s="4">
        <v>100.669</v>
      </c>
      <c r="H43" s="4">
        <v>101.88500000000001</v>
      </c>
      <c r="I43" s="4">
        <v>108.345</v>
      </c>
      <c r="J43" s="4">
        <v>156.44999999999999</v>
      </c>
      <c r="K43" s="4">
        <v>173.33600000000001</v>
      </c>
      <c r="L43" s="4">
        <v>180.834</v>
      </c>
      <c r="M43" s="4">
        <v>180.06200000000001</v>
      </c>
      <c r="N43" s="4">
        <v>171.387</v>
      </c>
      <c r="O43" s="4">
        <v>167.95400000000001</v>
      </c>
      <c r="P43" s="52">
        <f t="shared" si="0"/>
        <v>203.11025511858946</v>
      </c>
    </row>
    <row r="44" spans="2:16" x14ac:dyDescent="0.35">
      <c r="B44" s="8" t="s">
        <v>152</v>
      </c>
      <c r="C44" s="4">
        <v>790.35799999999995</v>
      </c>
      <c r="D44" s="4">
        <v>699.33199999999999</v>
      </c>
      <c r="E44" s="4">
        <v>797.53</v>
      </c>
      <c r="F44" s="4">
        <v>609.56799999999998</v>
      </c>
      <c r="G44" s="4">
        <v>866.74199999999996</v>
      </c>
      <c r="H44" s="4">
        <v>911.06600000000003</v>
      </c>
      <c r="I44" s="4">
        <v>1004.167</v>
      </c>
      <c r="J44" s="4">
        <v>1363.296</v>
      </c>
      <c r="K44" s="4">
        <v>1978.35</v>
      </c>
      <c r="L44" s="4">
        <v>1607.981</v>
      </c>
      <c r="M44" s="4">
        <v>1768.1379999999999</v>
      </c>
      <c r="N44" s="4">
        <v>2119.06</v>
      </c>
      <c r="O44" s="4">
        <v>2231.9369999999999</v>
      </c>
      <c r="P44" s="52">
        <f t="shared" si="0"/>
        <v>1959.6124008315426</v>
      </c>
    </row>
    <row r="45" spans="2:16" x14ac:dyDescent="0.35">
      <c r="B45" s="20" t="s">
        <v>153</v>
      </c>
      <c r="C45" s="4">
        <v>174.958</v>
      </c>
      <c r="D45" s="4">
        <v>113.343</v>
      </c>
      <c r="E45" s="4">
        <v>108.19799999999999</v>
      </c>
      <c r="F45" s="4">
        <v>38.802999999999997</v>
      </c>
      <c r="G45" s="4">
        <v>44.74</v>
      </c>
      <c r="H45" s="4">
        <v>47.106999999999999</v>
      </c>
      <c r="I45" s="4">
        <v>54.093000000000004</v>
      </c>
      <c r="J45" s="4">
        <v>90.06</v>
      </c>
      <c r="K45" s="4">
        <v>135.215</v>
      </c>
      <c r="L45" s="4">
        <v>261.13900000000001</v>
      </c>
      <c r="M45" s="4">
        <v>394.04599999999999</v>
      </c>
      <c r="N45" s="4">
        <v>382.15699999999998</v>
      </c>
      <c r="O45" s="4">
        <v>340.101</v>
      </c>
      <c r="P45" s="52">
        <f t="shared" si="0"/>
        <v>233.99953369883011</v>
      </c>
    </row>
    <row r="46" spans="2:16" x14ac:dyDescent="0.35">
      <c r="B46" s="20" t="s">
        <v>154</v>
      </c>
      <c r="C46" s="4">
        <v>11.683</v>
      </c>
      <c r="D46" s="4">
        <v>12.388</v>
      </c>
      <c r="E46" s="4">
        <v>20.672999999999998</v>
      </c>
      <c r="F46" s="4">
        <v>20.396000000000001</v>
      </c>
      <c r="G46" s="4">
        <v>27.099</v>
      </c>
      <c r="H46" s="4">
        <v>35.923000000000002</v>
      </c>
      <c r="I46" s="4">
        <v>16.196999999999999</v>
      </c>
      <c r="J46" s="4">
        <v>33.735999999999997</v>
      </c>
      <c r="K46" s="4">
        <v>40.706000000000003</v>
      </c>
      <c r="L46" s="4">
        <v>25.248999999999999</v>
      </c>
      <c r="M46" s="4">
        <v>25.359000000000002</v>
      </c>
      <c r="N46" s="4">
        <v>14.236000000000001</v>
      </c>
      <c r="O46" s="4">
        <v>18.722000000000001</v>
      </c>
      <c r="P46" s="52">
        <f t="shared" si="0"/>
        <v>35.902704074879786</v>
      </c>
    </row>
    <row r="47" spans="2:16" x14ac:dyDescent="0.35">
      <c r="B47" s="20" t="s">
        <v>155</v>
      </c>
      <c r="C47" s="4">
        <v>2.5209999999999999</v>
      </c>
      <c r="D47" s="4">
        <v>0.78300000000000003</v>
      </c>
      <c r="E47" s="4">
        <v>0.81399999999999995</v>
      </c>
      <c r="F47" s="4">
        <v>0.35</v>
      </c>
      <c r="G47" s="4">
        <v>1.7190000000000001</v>
      </c>
      <c r="H47" s="4">
        <v>11.86</v>
      </c>
      <c r="I47" s="4">
        <v>0.36</v>
      </c>
      <c r="J47" s="4">
        <v>1.6459999999999999</v>
      </c>
      <c r="K47" s="4">
        <v>1.6379999999999999</v>
      </c>
      <c r="L47" s="4">
        <v>0.79400000000000004</v>
      </c>
      <c r="M47" s="4">
        <v>1.1479999999999999</v>
      </c>
      <c r="N47" s="4">
        <v>0.60699999999999998</v>
      </c>
      <c r="O47" s="4">
        <v>0.84099999999999997</v>
      </c>
      <c r="P47" s="52">
        <f t="shared" si="0"/>
        <v>1.4166773289261752</v>
      </c>
    </row>
    <row r="48" spans="2:16" x14ac:dyDescent="0.35">
      <c r="B48" s="20" t="s">
        <v>156</v>
      </c>
      <c r="C48" s="4">
        <v>601.19600000000003</v>
      </c>
      <c r="D48" s="4">
        <v>572.81799999999998</v>
      </c>
      <c r="E48" s="4">
        <v>667.84500000000003</v>
      </c>
      <c r="F48" s="4">
        <v>550.01900000000001</v>
      </c>
      <c r="G48" s="4">
        <v>793.18399999999997</v>
      </c>
      <c r="H48" s="4">
        <v>816.17600000000004</v>
      </c>
      <c r="I48" s="4">
        <v>933.51700000000005</v>
      </c>
      <c r="J48" s="4">
        <v>1237.854</v>
      </c>
      <c r="K48" s="4">
        <v>1800.7909999999999</v>
      </c>
      <c r="L48" s="4">
        <v>1320.799</v>
      </c>
      <c r="M48" s="4">
        <v>1347.585</v>
      </c>
      <c r="N48" s="4">
        <v>1722.06</v>
      </c>
      <c r="O48" s="4">
        <v>1872.2729999999999</v>
      </c>
      <c r="P48" s="52">
        <f t="shared" si="0"/>
        <v>1688.2934857289067</v>
      </c>
    </row>
    <row r="49" spans="2:16" x14ac:dyDescent="0.35">
      <c r="B49" s="2" t="s">
        <v>157</v>
      </c>
      <c r="C49" s="4">
        <v>287.39100000000002</v>
      </c>
      <c r="D49" s="4">
        <v>307.20600000000002</v>
      </c>
      <c r="E49" s="4">
        <v>318.02300000000002</v>
      </c>
      <c r="F49" s="4">
        <v>339.71199999999999</v>
      </c>
      <c r="G49" s="4">
        <v>370.411</v>
      </c>
      <c r="H49" s="4">
        <v>388.28100000000001</v>
      </c>
      <c r="I49" s="4">
        <v>417.65800000000002</v>
      </c>
      <c r="J49" s="4">
        <v>440.73500000000001</v>
      </c>
      <c r="K49" s="4">
        <v>431.17700000000002</v>
      </c>
      <c r="L49" s="4">
        <v>432.971</v>
      </c>
      <c r="M49" s="4">
        <v>431.67399999999998</v>
      </c>
      <c r="N49" s="4">
        <v>429.375</v>
      </c>
      <c r="O49" s="4">
        <v>413.36099999999999</v>
      </c>
      <c r="P49" s="52">
        <f t="shared" si="0"/>
        <v>552.40595407439605</v>
      </c>
    </row>
    <row r="50" spans="2:16" x14ac:dyDescent="0.35">
      <c r="B50" s="6" t="s">
        <v>158</v>
      </c>
      <c r="C50" s="4">
        <v>240.50200000000001</v>
      </c>
      <c r="D50" s="4">
        <v>257.66699999999997</v>
      </c>
      <c r="E50" s="4">
        <v>260.97500000000002</v>
      </c>
      <c r="F50" s="4">
        <v>280.59500000000003</v>
      </c>
      <c r="G50" s="4">
        <v>311.76</v>
      </c>
      <c r="H50" s="4">
        <v>325.358</v>
      </c>
      <c r="I50" s="4">
        <v>356.13900000000001</v>
      </c>
      <c r="J50" s="4">
        <v>380.17700000000002</v>
      </c>
      <c r="K50" s="4">
        <v>372.62599999999998</v>
      </c>
      <c r="L50" s="4">
        <v>371.85599999999999</v>
      </c>
      <c r="M50" s="4">
        <v>370.39100000000002</v>
      </c>
      <c r="N50" s="4">
        <v>378.471</v>
      </c>
      <c r="O50" s="4">
        <v>382.95400000000001</v>
      </c>
      <c r="P50" s="52">
        <f t="shared" si="0"/>
        <v>474.62465180528642</v>
      </c>
    </row>
    <row r="51" spans="2:16" x14ac:dyDescent="0.35">
      <c r="B51" s="6" t="s">
        <v>159</v>
      </c>
      <c r="C51" s="4">
        <v>0</v>
      </c>
      <c r="D51" s="4">
        <v>0</v>
      </c>
      <c r="E51" s="4">
        <v>0</v>
      </c>
      <c r="F51" s="4">
        <v>0</v>
      </c>
      <c r="G51" s="4">
        <v>0</v>
      </c>
      <c r="H51" s="4">
        <v>0</v>
      </c>
      <c r="I51" s="4">
        <v>0</v>
      </c>
      <c r="J51" s="4">
        <v>0</v>
      </c>
      <c r="K51" s="4">
        <v>0</v>
      </c>
      <c r="L51" s="4">
        <v>0</v>
      </c>
      <c r="M51" s="4">
        <v>0</v>
      </c>
      <c r="N51" s="4">
        <v>0</v>
      </c>
      <c r="O51" s="4">
        <v>0</v>
      </c>
      <c r="P51" s="52">
        <f t="shared" si="0"/>
        <v>0</v>
      </c>
    </row>
    <row r="52" spans="2:16" x14ac:dyDescent="0.35">
      <c r="B52" s="6" t="s">
        <v>160</v>
      </c>
      <c r="C52" s="4">
        <v>0</v>
      </c>
      <c r="D52" s="4">
        <v>0</v>
      </c>
      <c r="E52" s="4">
        <v>0</v>
      </c>
      <c r="F52" s="4">
        <v>0</v>
      </c>
      <c r="G52" s="4">
        <v>0</v>
      </c>
      <c r="H52" s="4">
        <v>0</v>
      </c>
      <c r="I52" s="4">
        <v>0</v>
      </c>
      <c r="J52" s="4">
        <v>0</v>
      </c>
      <c r="K52" s="4">
        <v>0</v>
      </c>
      <c r="L52" s="4">
        <v>0</v>
      </c>
      <c r="M52" s="4">
        <v>0</v>
      </c>
      <c r="N52" s="4">
        <v>0</v>
      </c>
      <c r="O52" s="4">
        <v>0</v>
      </c>
      <c r="P52" s="52">
        <f t="shared" si="0"/>
        <v>0</v>
      </c>
    </row>
    <row r="53" spans="2:16" x14ac:dyDescent="0.35">
      <c r="B53" s="6" t="s">
        <v>161</v>
      </c>
      <c r="C53" s="4">
        <v>46.889000000000003</v>
      </c>
      <c r="D53" s="4">
        <v>49.539000000000001</v>
      </c>
      <c r="E53" s="4">
        <v>57.048000000000002</v>
      </c>
      <c r="F53" s="4">
        <v>59.116999999999997</v>
      </c>
      <c r="G53" s="4">
        <v>58.651000000000003</v>
      </c>
      <c r="H53" s="4">
        <v>62.923000000000002</v>
      </c>
      <c r="I53" s="4">
        <v>61.518999999999998</v>
      </c>
      <c r="J53" s="4">
        <v>60.558</v>
      </c>
      <c r="K53" s="4">
        <v>58.551000000000002</v>
      </c>
      <c r="L53" s="4">
        <v>61.115000000000002</v>
      </c>
      <c r="M53" s="4">
        <v>61.283000000000001</v>
      </c>
      <c r="N53" s="4">
        <v>50.904000000000003</v>
      </c>
      <c r="O53" s="4">
        <v>30.407</v>
      </c>
      <c r="P53" s="52">
        <f t="shared" si="0"/>
        <v>77.781302269109545</v>
      </c>
    </row>
    <row r="54" spans="2:16" x14ac:dyDescent="0.35">
      <c r="B54" s="2" t="s">
        <v>162</v>
      </c>
      <c r="C54" s="4">
        <v>0</v>
      </c>
      <c r="D54" s="4">
        <v>0</v>
      </c>
      <c r="E54" s="4">
        <v>0</v>
      </c>
      <c r="F54" s="4">
        <v>0</v>
      </c>
      <c r="G54" s="4">
        <v>0</v>
      </c>
      <c r="H54" s="4">
        <v>0</v>
      </c>
      <c r="I54" s="4">
        <v>0</v>
      </c>
      <c r="J54" s="4">
        <v>9.5000000000000001E-2</v>
      </c>
      <c r="K54" s="4">
        <v>0</v>
      </c>
      <c r="L54" s="4">
        <v>0</v>
      </c>
      <c r="M54" s="4">
        <v>0</v>
      </c>
      <c r="N54" s="4">
        <v>0</v>
      </c>
      <c r="O54" s="4">
        <v>0</v>
      </c>
      <c r="P54" s="52">
        <f t="shared" si="0"/>
        <v>2.4976649483050277E-2</v>
      </c>
    </row>
    <row r="55" spans="2:16" x14ac:dyDescent="0.35">
      <c r="B55" s="2" t="s">
        <v>163</v>
      </c>
      <c r="C55" s="4">
        <v>-2072.5160000000001</v>
      </c>
      <c r="D55" s="4">
        <v>2137.721</v>
      </c>
      <c r="E55" s="4">
        <v>2728.1350000000002</v>
      </c>
      <c r="F55" s="4">
        <v>612.07899999999995</v>
      </c>
      <c r="G55" s="4">
        <v>2119.8380000000002</v>
      </c>
      <c r="H55" s="4">
        <v>3011.453</v>
      </c>
      <c r="I55" s="4">
        <v>1251.7470000000001</v>
      </c>
      <c r="J55" s="4">
        <v>498.17599999999999</v>
      </c>
      <c r="K55" s="4">
        <v>2684.6660000000002</v>
      </c>
      <c r="L55" s="4">
        <v>2072.5050000000001</v>
      </c>
      <c r="M55" s="4">
        <v>1445.0550000000001</v>
      </c>
      <c r="N55" s="4">
        <v>1281.1020000000001</v>
      </c>
      <c r="O55" s="4">
        <v>7698.6319999999996</v>
      </c>
      <c r="P55" s="52">
        <f t="shared" si="0"/>
        <v>2006.9767844593982</v>
      </c>
    </row>
    <row r="56" spans="2:16" x14ac:dyDescent="0.35">
      <c r="B56" s="6" t="s">
        <v>164</v>
      </c>
      <c r="C56" s="4">
        <v>74.957999999999998</v>
      </c>
      <c r="D56" s="4">
        <v>104.99</v>
      </c>
      <c r="E56" s="4">
        <v>268.22399999999999</v>
      </c>
      <c r="F56" s="4">
        <v>317.82100000000003</v>
      </c>
      <c r="G56" s="4">
        <v>368.03100000000001</v>
      </c>
      <c r="H56" s="4">
        <v>371.399</v>
      </c>
      <c r="I56" s="4">
        <v>247.51300000000001</v>
      </c>
      <c r="J56" s="4">
        <v>203.518</v>
      </c>
      <c r="K56" s="4">
        <v>191.65</v>
      </c>
      <c r="L56" s="4">
        <v>187.428</v>
      </c>
      <c r="M56" s="4">
        <v>198.76400000000001</v>
      </c>
      <c r="N56" s="4">
        <v>211.267</v>
      </c>
      <c r="O56" s="4">
        <v>927.94100000000003</v>
      </c>
      <c r="P56" s="52">
        <f t="shared" si="0"/>
        <v>265.48747851199124</v>
      </c>
    </row>
    <row r="57" spans="2:16" x14ac:dyDescent="0.35">
      <c r="B57" s="6" t="s">
        <v>165</v>
      </c>
      <c r="C57" s="4">
        <v>-2161.3670000000002</v>
      </c>
      <c r="D57" s="4">
        <v>2018.2819999999999</v>
      </c>
      <c r="E57" s="4">
        <v>2444.884</v>
      </c>
      <c r="F57" s="4">
        <v>294.25799999999998</v>
      </c>
      <c r="G57" s="4">
        <v>1751.807</v>
      </c>
      <c r="H57" s="4">
        <v>2640.0540000000001</v>
      </c>
      <c r="I57" s="4">
        <v>1004.234</v>
      </c>
      <c r="J57" s="4">
        <v>294.65800000000002</v>
      </c>
      <c r="K57" s="4">
        <v>2493.0160000000001</v>
      </c>
      <c r="L57" s="4">
        <v>1885.077</v>
      </c>
      <c r="M57" s="4">
        <v>1246.2909999999999</v>
      </c>
      <c r="N57" s="4">
        <v>1069.835</v>
      </c>
      <c r="O57" s="4">
        <v>6770.6909999999998</v>
      </c>
      <c r="P57" s="52">
        <f t="shared" si="0"/>
        <v>1741.489305947407</v>
      </c>
    </row>
    <row r="58" spans="2:16" x14ac:dyDescent="0.35">
      <c r="B58" s="6" t="s">
        <v>166</v>
      </c>
      <c r="C58" s="4">
        <v>13.893000000000001</v>
      </c>
      <c r="D58" s="4">
        <v>14.449</v>
      </c>
      <c r="E58" s="4">
        <v>15.026999999999999</v>
      </c>
      <c r="F58" s="4">
        <v>0</v>
      </c>
      <c r="G58" s="4">
        <v>0</v>
      </c>
      <c r="H58" s="4">
        <v>0</v>
      </c>
      <c r="I58" s="4">
        <v>0</v>
      </c>
      <c r="J58" s="4">
        <v>0</v>
      </c>
      <c r="K58" s="4">
        <v>0</v>
      </c>
      <c r="L58" s="4">
        <v>0</v>
      </c>
      <c r="M58" s="4">
        <v>0</v>
      </c>
      <c r="N58" s="4">
        <v>0</v>
      </c>
      <c r="O58" s="4">
        <v>0</v>
      </c>
      <c r="P58" s="52">
        <f t="shared" si="0"/>
        <v>0</v>
      </c>
    </row>
    <row r="59" spans="2:16" x14ac:dyDescent="0.35">
      <c r="B59" s="9" t="s">
        <v>167</v>
      </c>
      <c r="C59" s="10">
        <v>0</v>
      </c>
      <c r="D59" s="10">
        <v>0</v>
      </c>
      <c r="E59" s="10">
        <v>0</v>
      </c>
      <c r="F59" s="10">
        <v>0</v>
      </c>
      <c r="G59" s="10">
        <v>0</v>
      </c>
      <c r="H59" s="10">
        <v>0</v>
      </c>
      <c r="I59" s="10">
        <v>0</v>
      </c>
      <c r="J59" s="10">
        <v>0</v>
      </c>
      <c r="K59" s="10">
        <v>0</v>
      </c>
      <c r="L59" s="10">
        <v>0</v>
      </c>
      <c r="M59" s="10">
        <v>0</v>
      </c>
      <c r="N59" s="10">
        <v>0</v>
      </c>
      <c r="O59" s="10">
        <v>0</v>
      </c>
      <c r="P59" s="53">
        <f t="shared" si="0"/>
        <v>0</v>
      </c>
    </row>
    <row r="61" spans="2:16" x14ac:dyDescent="0.35">
      <c r="B61" s="13" t="s">
        <v>168</v>
      </c>
    </row>
    <row r="62" spans="2:16" x14ac:dyDescent="0.35">
      <c r="B62" s="2" t="s">
        <v>169</v>
      </c>
    </row>
    <row r="63" spans="2:16" x14ac:dyDescent="0.35">
      <c r="B63" s="2" t="s">
        <v>170</v>
      </c>
    </row>
    <row r="64" spans="2:16" x14ac:dyDescent="0.35">
      <c r="B64" s="2" t="s">
        <v>171</v>
      </c>
    </row>
    <row r="65" spans="2:16" x14ac:dyDescent="0.35">
      <c r="C65" s="4"/>
      <c r="D65" s="4"/>
      <c r="E65" s="4"/>
      <c r="F65" s="4"/>
      <c r="G65" s="4"/>
      <c r="H65" s="4"/>
      <c r="I65" s="4"/>
      <c r="J65" s="4"/>
      <c r="K65" s="4"/>
      <c r="L65" s="4"/>
      <c r="M65" s="4"/>
      <c r="N65" s="4"/>
      <c r="O65" s="4"/>
      <c r="P65" s="4"/>
    </row>
    <row r="66" spans="2:16" x14ac:dyDescent="0.35">
      <c r="B66" s="2" t="s">
        <v>537</v>
      </c>
      <c r="C66" s="4"/>
      <c r="D66" s="4"/>
      <c r="E66" s="4"/>
      <c r="F66" s="4"/>
      <c r="G66" s="4"/>
      <c r="H66" s="4"/>
      <c r="I66" s="4"/>
      <c r="J66" s="4"/>
      <c r="K66" s="4"/>
      <c r="L66" s="4"/>
      <c r="M66" s="4"/>
      <c r="N66" s="4"/>
      <c r="O66" s="4"/>
      <c r="P66" s="4"/>
    </row>
    <row r="67" spans="2:16" x14ac:dyDescent="0.35">
      <c r="B67" s="2" t="s">
        <v>536</v>
      </c>
      <c r="C67" s="4">
        <v>6747.5919999999996</v>
      </c>
      <c r="D67" s="4">
        <v>6280.8281322399989</v>
      </c>
      <c r="E67" s="4">
        <v>6127.7250000000004</v>
      </c>
      <c r="F67" s="4">
        <v>6511.5780000000004</v>
      </c>
      <c r="G67" s="4">
        <v>7139.7277855999992</v>
      </c>
      <c r="H67" s="4">
        <v>7722.84</v>
      </c>
      <c r="I67" s="4">
        <v>8221.2900000000009</v>
      </c>
      <c r="J67" s="4">
        <v>8811.8819999999996</v>
      </c>
      <c r="K67" s="4">
        <v>9415.2139999999999</v>
      </c>
      <c r="L67" s="4">
        <v>9591.7240000000002</v>
      </c>
      <c r="M67" s="4">
        <v>9246.2929999999997</v>
      </c>
      <c r="N67" s="4">
        <v>8818.2549999999992</v>
      </c>
      <c r="O67" s="4">
        <v>9494.26</v>
      </c>
      <c r="P67" s="4">
        <v>11583.752</v>
      </c>
    </row>
    <row r="68" spans="2:16" x14ac:dyDescent="0.35">
      <c r="B68" s="2" t="s">
        <v>115</v>
      </c>
      <c r="C68" s="54">
        <f t="shared" ref="C68:O73" si="1">C7/C$67</f>
        <v>1.7348345898803603</v>
      </c>
      <c r="D68" s="54">
        <f t="shared" si="1"/>
        <v>1.9457203322074648</v>
      </c>
      <c r="E68" s="54">
        <f t="shared" si="1"/>
        <v>2.1050228265791953</v>
      </c>
      <c r="F68" s="54">
        <f t="shared" si="1"/>
        <v>1.9842065932405324</v>
      </c>
      <c r="G68" s="54">
        <f t="shared" si="1"/>
        <v>1.946479672240349</v>
      </c>
      <c r="H68" s="54">
        <f t="shared" si="1"/>
        <v>1.876732005324466</v>
      </c>
      <c r="I68" s="54">
        <f t="shared" si="1"/>
        <v>1.8426046277409016</v>
      </c>
      <c r="J68" s="54">
        <f t="shared" si="1"/>
        <v>1.865629612380193</v>
      </c>
      <c r="K68" s="54">
        <f t="shared" si="1"/>
        <v>1.830211719032621</v>
      </c>
      <c r="L68" s="54">
        <f t="shared" si="1"/>
        <v>1.8463069829782424</v>
      </c>
      <c r="M68" s="54">
        <f t="shared" si="1"/>
        <v>2.0042122826953461</v>
      </c>
      <c r="N68" s="54">
        <f t="shared" si="1"/>
        <v>2.2169634468497454</v>
      </c>
      <c r="O68" s="54">
        <f t="shared" si="1"/>
        <v>2.3012127327458907</v>
      </c>
      <c r="P68" s="58">
        <f>O68</f>
        <v>2.3012127327458907</v>
      </c>
    </row>
    <row r="69" spans="2:16" x14ac:dyDescent="0.35">
      <c r="B69" s="2" t="s">
        <v>116</v>
      </c>
      <c r="C69" s="54">
        <f t="shared" si="1"/>
        <v>0.36601027448014051</v>
      </c>
      <c r="D69" s="54">
        <f t="shared" si="1"/>
        <v>0.45005163976551688</v>
      </c>
      <c r="E69" s="54">
        <f t="shared" si="1"/>
        <v>0.51909362773296774</v>
      </c>
      <c r="F69" s="54">
        <f t="shared" si="1"/>
        <v>0.40723815333241803</v>
      </c>
      <c r="G69" s="54">
        <f t="shared" si="1"/>
        <v>0.38015833117255254</v>
      </c>
      <c r="H69" s="54">
        <f t="shared" si="1"/>
        <v>0.40455350622309927</v>
      </c>
      <c r="I69" s="54">
        <f t="shared" si="1"/>
        <v>0.36991250764782652</v>
      </c>
      <c r="J69" s="54">
        <f t="shared" si="1"/>
        <v>0.3775195809476341</v>
      </c>
      <c r="K69" s="54">
        <f t="shared" si="1"/>
        <v>0.32912507352461662</v>
      </c>
      <c r="L69" s="54">
        <f t="shared" si="1"/>
        <v>0.33473951085331477</v>
      </c>
      <c r="M69" s="54">
        <f t="shared" si="1"/>
        <v>0.33358655192951381</v>
      </c>
      <c r="N69" s="54">
        <f t="shared" si="1"/>
        <v>0.46014886165119973</v>
      </c>
      <c r="O69" s="54">
        <f t="shared" si="1"/>
        <v>0.64873428787498977</v>
      </c>
      <c r="P69" s="58">
        <f t="shared" ref="P69:P73" si="2">O69</f>
        <v>0.64873428787498977</v>
      </c>
    </row>
    <row r="70" spans="2:16" x14ac:dyDescent="0.35">
      <c r="B70" s="2" t="s">
        <v>117</v>
      </c>
      <c r="C70" s="54">
        <f t="shared" si="1"/>
        <v>0.36601027448014051</v>
      </c>
      <c r="D70" s="54">
        <f t="shared" si="1"/>
        <v>0.45005163976551688</v>
      </c>
      <c r="E70" s="54">
        <f t="shared" si="1"/>
        <v>0.51909362773296774</v>
      </c>
      <c r="F70" s="54">
        <f t="shared" si="1"/>
        <v>0.40723815333241803</v>
      </c>
      <c r="G70" s="54">
        <f t="shared" si="1"/>
        <v>0.38015833117255254</v>
      </c>
      <c r="H70" s="54">
        <f t="shared" si="1"/>
        <v>0.40455350622309927</v>
      </c>
      <c r="I70" s="54">
        <f t="shared" si="1"/>
        <v>0.36991250764782652</v>
      </c>
      <c r="J70" s="54">
        <f t="shared" si="1"/>
        <v>0.3775195809476341</v>
      </c>
      <c r="K70" s="54">
        <f t="shared" si="1"/>
        <v>0.32912507352461662</v>
      </c>
      <c r="L70" s="54">
        <f t="shared" si="1"/>
        <v>0.33473951085331477</v>
      </c>
      <c r="M70" s="54">
        <f t="shared" si="1"/>
        <v>0.33358655192951381</v>
      </c>
      <c r="N70" s="54">
        <f t="shared" si="1"/>
        <v>0.46014886165119973</v>
      </c>
      <c r="O70" s="54">
        <f t="shared" si="1"/>
        <v>0.64873428787498977</v>
      </c>
      <c r="P70" s="58">
        <f t="shared" si="2"/>
        <v>0.64873428787498977</v>
      </c>
    </row>
    <row r="71" spans="2:16" x14ac:dyDescent="0.35">
      <c r="B71" s="6" t="s">
        <v>118</v>
      </c>
      <c r="C71" s="54">
        <f t="shared" si="1"/>
        <v>0</v>
      </c>
      <c r="D71" s="54">
        <f t="shared" si="1"/>
        <v>0</v>
      </c>
      <c r="E71" s="54">
        <f t="shared" si="1"/>
        <v>0</v>
      </c>
      <c r="F71" s="54">
        <f t="shared" si="1"/>
        <v>0</v>
      </c>
      <c r="G71" s="54">
        <f t="shared" si="1"/>
        <v>0</v>
      </c>
      <c r="H71" s="54">
        <f t="shared" si="1"/>
        <v>0</v>
      </c>
      <c r="I71" s="54">
        <f t="shared" si="1"/>
        <v>0</v>
      </c>
      <c r="J71" s="54">
        <f t="shared" si="1"/>
        <v>0</v>
      </c>
      <c r="K71" s="54">
        <f t="shared" si="1"/>
        <v>0</v>
      </c>
      <c r="L71" s="54">
        <f t="shared" si="1"/>
        <v>0</v>
      </c>
      <c r="M71" s="54">
        <f t="shared" si="1"/>
        <v>0</v>
      </c>
      <c r="N71" s="54">
        <f t="shared" si="1"/>
        <v>0</v>
      </c>
      <c r="O71" s="54">
        <f t="shared" si="1"/>
        <v>0</v>
      </c>
      <c r="P71" s="58">
        <f t="shared" si="2"/>
        <v>0</v>
      </c>
    </row>
    <row r="72" spans="2:16" x14ac:dyDescent="0.35">
      <c r="B72" s="6" t="s">
        <v>119</v>
      </c>
      <c r="C72" s="54">
        <f t="shared" si="1"/>
        <v>0</v>
      </c>
      <c r="D72" s="54">
        <f t="shared" si="1"/>
        <v>0</v>
      </c>
      <c r="E72" s="54">
        <f t="shared" si="1"/>
        <v>0</v>
      </c>
      <c r="F72" s="54">
        <f t="shared" si="1"/>
        <v>0</v>
      </c>
      <c r="G72" s="54">
        <f t="shared" si="1"/>
        <v>0</v>
      </c>
      <c r="H72" s="54">
        <f t="shared" si="1"/>
        <v>0</v>
      </c>
      <c r="I72" s="54">
        <f t="shared" si="1"/>
        <v>0</v>
      </c>
      <c r="J72" s="54">
        <f t="shared" si="1"/>
        <v>0</v>
      </c>
      <c r="K72" s="54">
        <f t="shared" si="1"/>
        <v>0</v>
      </c>
      <c r="L72" s="54">
        <f t="shared" si="1"/>
        <v>0</v>
      </c>
      <c r="M72" s="54">
        <f t="shared" si="1"/>
        <v>0</v>
      </c>
      <c r="N72" s="54">
        <f t="shared" si="1"/>
        <v>0</v>
      </c>
      <c r="O72" s="54">
        <f t="shared" si="1"/>
        <v>0</v>
      </c>
      <c r="P72" s="58">
        <f t="shared" si="2"/>
        <v>0</v>
      </c>
    </row>
    <row r="73" spans="2:16" x14ac:dyDescent="0.35">
      <c r="B73" s="6" t="s">
        <v>120</v>
      </c>
      <c r="C73" s="54">
        <f t="shared" si="1"/>
        <v>0</v>
      </c>
      <c r="D73" s="54">
        <f t="shared" si="1"/>
        <v>0</v>
      </c>
      <c r="E73" s="54">
        <f t="shared" si="1"/>
        <v>0</v>
      </c>
      <c r="F73" s="54">
        <f t="shared" si="1"/>
        <v>0</v>
      </c>
      <c r="G73" s="54">
        <f t="shared" si="1"/>
        <v>0</v>
      </c>
      <c r="H73" s="54">
        <f t="shared" si="1"/>
        <v>0</v>
      </c>
      <c r="I73" s="54">
        <f t="shared" si="1"/>
        <v>0</v>
      </c>
      <c r="J73" s="54">
        <f t="shared" si="1"/>
        <v>0</v>
      </c>
      <c r="K73" s="54">
        <f t="shared" si="1"/>
        <v>0</v>
      </c>
      <c r="L73" s="54">
        <f t="shared" si="1"/>
        <v>0</v>
      </c>
      <c r="M73" s="54">
        <f t="shared" si="1"/>
        <v>0</v>
      </c>
      <c r="N73" s="54">
        <f t="shared" si="1"/>
        <v>0</v>
      </c>
      <c r="O73" s="54">
        <f t="shared" si="1"/>
        <v>0</v>
      </c>
      <c r="P73" s="58">
        <f t="shared" si="2"/>
        <v>0</v>
      </c>
    </row>
    <row r="74" spans="2:16" x14ac:dyDescent="0.35">
      <c r="B74" s="2" t="s">
        <v>121</v>
      </c>
      <c r="C74" s="54">
        <f t="shared" ref="C74:O74" si="3">C13/C$67</f>
        <v>1.36882431540022</v>
      </c>
      <c r="D74" s="54">
        <f t="shared" si="3"/>
        <v>1.4956686924419478</v>
      </c>
      <c r="E74" s="54">
        <f t="shared" si="3"/>
        <v>1.5859291988462276</v>
      </c>
      <c r="F74" s="54">
        <f t="shared" si="3"/>
        <v>1.5769684399081143</v>
      </c>
      <c r="G74" s="54">
        <f t="shared" si="3"/>
        <v>1.5663213410677965</v>
      </c>
      <c r="H74" s="54">
        <f t="shared" si="3"/>
        <v>1.4721784991013667</v>
      </c>
      <c r="I74" s="54">
        <f t="shared" si="3"/>
        <v>1.4726921200930754</v>
      </c>
      <c r="J74" s="54">
        <f t="shared" si="3"/>
        <v>1.4881100314325588</v>
      </c>
      <c r="K74" s="54">
        <f t="shared" si="3"/>
        <v>1.5010866455080043</v>
      </c>
      <c r="L74" s="54">
        <f t="shared" si="3"/>
        <v>1.5115674721249277</v>
      </c>
      <c r="M74" s="54">
        <f t="shared" si="3"/>
        <v>1.6706257307658323</v>
      </c>
      <c r="N74" s="54">
        <f t="shared" si="3"/>
        <v>1.7568145851985457</v>
      </c>
      <c r="O74" s="54">
        <f t="shared" si="3"/>
        <v>1.6524784448709009</v>
      </c>
      <c r="P74" s="55">
        <f t="shared" ref="P74:P120" si="4">AVERAGE(I74:M74)</f>
        <v>1.5288163999848796</v>
      </c>
    </row>
    <row r="75" spans="2:16" x14ac:dyDescent="0.35">
      <c r="B75" s="6" t="s">
        <v>122</v>
      </c>
      <c r="C75" s="54">
        <f t="shared" ref="C75:O75" si="5">C14/C$67</f>
        <v>0.97344845390770518</v>
      </c>
      <c r="D75" s="54">
        <f t="shared" si="5"/>
        <v>1.0758095680593298</v>
      </c>
      <c r="E75" s="54">
        <f t="shared" si="5"/>
        <v>1.101853950691325</v>
      </c>
      <c r="F75" s="54">
        <f t="shared" si="5"/>
        <v>1.1437544017748078</v>
      </c>
      <c r="G75" s="54">
        <f t="shared" si="5"/>
        <v>1.1291333846452132</v>
      </c>
      <c r="H75" s="54">
        <f t="shared" si="5"/>
        <v>1.0517392565429298</v>
      </c>
      <c r="I75" s="54">
        <f t="shared" si="5"/>
        <v>1.0593870305025124</v>
      </c>
      <c r="J75" s="54">
        <f t="shared" si="5"/>
        <v>1.0485180123837337</v>
      </c>
      <c r="K75" s="54">
        <f t="shared" si="5"/>
        <v>1.0044686185571565</v>
      </c>
      <c r="L75" s="54">
        <f t="shared" si="5"/>
        <v>1.0804490412776682</v>
      </c>
      <c r="M75" s="54">
        <f t="shared" si="5"/>
        <v>1.1982639961766299</v>
      </c>
      <c r="N75" s="54">
        <f t="shared" si="5"/>
        <v>1.2344274462464513</v>
      </c>
      <c r="O75" s="54">
        <f t="shared" si="5"/>
        <v>1.1822460096942784</v>
      </c>
      <c r="P75" s="55">
        <f t="shared" si="4"/>
        <v>1.0782173397795403</v>
      </c>
    </row>
    <row r="76" spans="2:16" x14ac:dyDescent="0.35">
      <c r="B76" s="8" t="s">
        <v>123</v>
      </c>
      <c r="C76" s="54">
        <f t="shared" ref="C76:O76" si="6">C15/C$67</f>
        <v>0.1976383575059073</v>
      </c>
      <c r="D76" s="54">
        <f t="shared" si="6"/>
        <v>0.22181024073065111</v>
      </c>
      <c r="E76" s="54">
        <f t="shared" si="6"/>
        <v>0.21619295905087121</v>
      </c>
      <c r="F76" s="54">
        <f t="shared" si="6"/>
        <v>0.2012707211677415</v>
      </c>
      <c r="G76" s="54">
        <f t="shared" si="6"/>
        <v>0.18608888740543864</v>
      </c>
      <c r="H76" s="54">
        <f t="shared" si="6"/>
        <v>0.18020792868944585</v>
      </c>
      <c r="I76" s="54">
        <f t="shared" si="6"/>
        <v>0.18625665801838881</v>
      </c>
      <c r="J76" s="54">
        <f t="shared" si="6"/>
        <v>0.18488819981928947</v>
      </c>
      <c r="K76" s="54">
        <f t="shared" si="6"/>
        <v>0.18690079694417991</v>
      </c>
      <c r="L76" s="54">
        <f t="shared" si="6"/>
        <v>0.20106562699260322</v>
      </c>
      <c r="M76" s="54">
        <f t="shared" si="6"/>
        <v>0.222808643420666</v>
      </c>
      <c r="N76" s="54">
        <f t="shared" si="6"/>
        <v>0.25617596678707977</v>
      </c>
      <c r="O76" s="54">
        <f t="shared" si="6"/>
        <v>0.24446412885259092</v>
      </c>
      <c r="P76" s="55">
        <f t="shared" si="4"/>
        <v>0.19638398503902549</v>
      </c>
    </row>
    <row r="77" spans="2:16" x14ac:dyDescent="0.35">
      <c r="B77" s="8" t="s">
        <v>124</v>
      </c>
      <c r="C77" s="54">
        <f t="shared" ref="C77:O77" si="7">C16/C$67</f>
        <v>0.5180373976375573</v>
      </c>
      <c r="D77" s="54">
        <f t="shared" si="7"/>
        <v>0.54147811855298922</v>
      </c>
      <c r="E77" s="54">
        <f t="shared" si="7"/>
        <v>0.60566768254123671</v>
      </c>
      <c r="F77" s="54">
        <f t="shared" si="7"/>
        <v>0.61362791016248286</v>
      </c>
      <c r="G77" s="54">
        <f t="shared" si="7"/>
        <v>0.60804951258168605</v>
      </c>
      <c r="H77" s="54">
        <f t="shared" si="7"/>
        <v>0.55682702218354907</v>
      </c>
      <c r="I77" s="54">
        <f t="shared" si="7"/>
        <v>0.55199877391504248</v>
      </c>
      <c r="J77" s="54">
        <f t="shared" si="7"/>
        <v>0.54081398275646453</v>
      </c>
      <c r="K77" s="54">
        <f t="shared" si="7"/>
        <v>0.50876305095136454</v>
      </c>
      <c r="L77" s="54">
        <f t="shared" si="7"/>
        <v>0.54041577926971207</v>
      </c>
      <c r="M77" s="54">
        <f t="shared" si="7"/>
        <v>0.60269958998703588</v>
      </c>
      <c r="N77" s="54">
        <f t="shared" si="7"/>
        <v>0.62838123869178197</v>
      </c>
      <c r="O77" s="54">
        <f t="shared" si="7"/>
        <v>0.49377065721815078</v>
      </c>
      <c r="P77" s="55">
        <f t="shared" si="4"/>
        <v>0.54893823537592401</v>
      </c>
    </row>
    <row r="78" spans="2:16" x14ac:dyDescent="0.35">
      <c r="B78" s="20" t="s">
        <v>125</v>
      </c>
      <c r="C78" s="54">
        <f t="shared" ref="C78:O78" si="8">C17/C$67</f>
        <v>0.38865331513820045</v>
      </c>
      <c r="D78" s="54">
        <f t="shared" si="8"/>
        <v>0.39389535072625442</v>
      </c>
      <c r="E78" s="54">
        <f t="shared" si="8"/>
        <v>0.43652676972285798</v>
      </c>
      <c r="F78" s="54">
        <f t="shared" si="8"/>
        <v>0.44361228568558952</v>
      </c>
      <c r="G78" s="54">
        <f t="shared" si="8"/>
        <v>0.43675474662903374</v>
      </c>
      <c r="H78" s="54">
        <f t="shared" si="8"/>
        <v>0.39408196984529004</v>
      </c>
      <c r="I78" s="54">
        <f t="shared" si="8"/>
        <v>0.39122485643980442</v>
      </c>
      <c r="J78" s="54">
        <f t="shared" si="8"/>
        <v>0.3903226348242067</v>
      </c>
      <c r="K78" s="54">
        <f t="shared" si="8"/>
        <v>0.3677637066985413</v>
      </c>
      <c r="L78" s="54">
        <f t="shared" si="8"/>
        <v>0.39349808230512051</v>
      </c>
      <c r="M78" s="54">
        <f t="shared" si="8"/>
        <v>0.44223333610561549</v>
      </c>
      <c r="N78" s="54">
        <f t="shared" si="8"/>
        <v>0.46280947874607847</v>
      </c>
      <c r="O78" s="54">
        <f t="shared" si="8"/>
        <v>0.38231489341981367</v>
      </c>
      <c r="P78" s="55">
        <f t="shared" si="4"/>
        <v>0.39700852327465774</v>
      </c>
    </row>
    <row r="79" spans="2:16" x14ac:dyDescent="0.35">
      <c r="B79" s="20" t="s">
        <v>126</v>
      </c>
      <c r="C79" s="54">
        <f t="shared" ref="C79:O79" si="9">C18/C$67</f>
        <v>0.12938408249935682</v>
      </c>
      <c r="D79" s="54">
        <f t="shared" si="9"/>
        <v>0.14758276782673477</v>
      </c>
      <c r="E79" s="54">
        <f t="shared" si="9"/>
        <v>0.16914091281837876</v>
      </c>
      <c r="F79" s="54">
        <f t="shared" si="9"/>
        <v>0.17001562447689328</v>
      </c>
      <c r="G79" s="54">
        <f t="shared" si="9"/>
        <v>0.17129476595265225</v>
      </c>
      <c r="H79" s="54">
        <f t="shared" si="9"/>
        <v>0.16274505233825898</v>
      </c>
      <c r="I79" s="54">
        <f t="shared" si="9"/>
        <v>0.16077391747523806</v>
      </c>
      <c r="J79" s="54">
        <f t="shared" si="9"/>
        <v>0.15049134793225785</v>
      </c>
      <c r="K79" s="54">
        <f t="shared" si="9"/>
        <v>0.14099934425282315</v>
      </c>
      <c r="L79" s="54">
        <f t="shared" si="9"/>
        <v>0.14691769696459156</v>
      </c>
      <c r="M79" s="54">
        <f t="shared" si="9"/>
        <v>0.16046625388142038</v>
      </c>
      <c r="N79" s="54">
        <f t="shared" si="9"/>
        <v>0.16557175994570356</v>
      </c>
      <c r="O79" s="54">
        <f t="shared" si="9"/>
        <v>0.1114557637983371</v>
      </c>
      <c r="P79" s="55">
        <f t="shared" si="4"/>
        <v>0.15192971210126621</v>
      </c>
    </row>
    <row r="80" spans="2:16" x14ac:dyDescent="0.35">
      <c r="B80" s="21" t="s">
        <v>127</v>
      </c>
      <c r="C80" s="54">
        <f t="shared" ref="C80:O80" si="10">C19/C$67</f>
        <v>2.4324233000454089E-2</v>
      </c>
      <c r="D80" s="54">
        <f t="shared" si="10"/>
        <v>2.4628917834252414E-2</v>
      </c>
      <c r="E80" s="54">
        <f t="shared" si="10"/>
        <v>2.7817827986732432E-2</v>
      </c>
      <c r="F80" s="54">
        <f t="shared" si="10"/>
        <v>2.5378487365121018E-2</v>
      </c>
      <c r="G80" s="54">
        <f t="shared" si="10"/>
        <v>2.3424002290018068E-2</v>
      </c>
      <c r="H80" s="54">
        <f t="shared" si="10"/>
        <v>2.1700566112984342E-2</v>
      </c>
      <c r="I80" s="54">
        <f t="shared" si="10"/>
        <v>2.0346077075495447E-2</v>
      </c>
      <c r="J80" s="54">
        <f t="shared" si="10"/>
        <v>1.9436370119345674E-2</v>
      </c>
      <c r="K80" s="54">
        <f t="shared" si="10"/>
        <v>1.7869269885952672E-2</v>
      </c>
      <c r="L80" s="54">
        <f t="shared" si="10"/>
        <v>1.8352488040731783E-2</v>
      </c>
      <c r="M80" s="54">
        <f t="shared" si="10"/>
        <v>1.9306223586036047E-2</v>
      </c>
      <c r="N80" s="54">
        <f t="shared" si="10"/>
        <v>1.9187129426400124E-2</v>
      </c>
      <c r="O80" s="54">
        <f t="shared" si="10"/>
        <v>1.5666097199781761E-2</v>
      </c>
      <c r="P80" s="55">
        <f t="shared" si="4"/>
        <v>1.9062085741512323E-2</v>
      </c>
    </row>
    <row r="81" spans="2:16" x14ac:dyDescent="0.35">
      <c r="B81" s="21" t="s">
        <v>128</v>
      </c>
      <c r="C81" s="54">
        <f t="shared" ref="C81:O81" si="11">C20/C$67</f>
        <v>7.0013124682108815E-3</v>
      </c>
      <c r="D81" s="54">
        <f t="shared" si="11"/>
        <v>7.017227517142937E-3</v>
      </c>
      <c r="E81" s="54">
        <f t="shared" si="11"/>
        <v>7.8420621029827546E-3</v>
      </c>
      <c r="F81" s="54">
        <f t="shared" si="11"/>
        <v>7.5026360737750503E-3</v>
      </c>
      <c r="G81" s="54">
        <f t="shared" si="11"/>
        <v>6.8576844202310715E-3</v>
      </c>
      <c r="H81" s="54">
        <f t="shared" si="11"/>
        <v>6.2548233551387826E-3</v>
      </c>
      <c r="I81" s="54">
        <f t="shared" si="11"/>
        <v>6.1159501732696445E-3</v>
      </c>
      <c r="J81" s="54">
        <f t="shared" si="11"/>
        <v>5.7411118305941916E-3</v>
      </c>
      <c r="K81" s="54">
        <f t="shared" si="11"/>
        <v>5.4345020729215507E-3</v>
      </c>
      <c r="L81" s="54">
        <f t="shared" si="11"/>
        <v>5.3570140258414447E-3</v>
      </c>
      <c r="M81" s="54">
        <f t="shared" si="11"/>
        <v>5.6144662515020885E-3</v>
      </c>
      <c r="N81" s="54">
        <f t="shared" si="11"/>
        <v>5.7464883925447841E-3</v>
      </c>
      <c r="O81" s="54">
        <f t="shared" si="11"/>
        <v>4.7584540553976817E-3</v>
      </c>
      <c r="P81" s="55">
        <f t="shared" si="4"/>
        <v>5.6526088708257838E-3</v>
      </c>
    </row>
    <row r="82" spans="2:16" x14ac:dyDescent="0.35">
      <c r="B82" s="21" t="s">
        <v>129</v>
      </c>
      <c r="C82" s="54">
        <f t="shared" ref="C82:O82" si="12">C21/C$67</f>
        <v>1.306317868655959E-2</v>
      </c>
      <c r="D82" s="54">
        <f t="shared" si="12"/>
        <v>1.6800809985285523E-2</v>
      </c>
      <c r="E82" s="54">
        <f t="shared" si="12"/>
        <v>2.0529152336307518E-2</v>
      </c>
      <c r="F82" s="54">
        <f t="shared" si="12"/>
        <v>1.8731404277119924E-2</v>
      </c>
      <c r="G82" s="54">
        <f t="shared" si="12"/>
        <v>1.570143895767297E-2</v>
      </c>
      <c r="H82" s="54">
        <f t="shared" si="12"/>
        <v>1.3943704647513091E-2</v>
      </c>
      <c r="I82" s="54">
        <f t="shared" si="12"/>
        <v>1.5771125942522401E-2</v>
      </c>
      <c r="J82" s="54">
        <f t="shared" si="12"/>
        <v>1.4172908806540986E-2</v>
      </c>
      <c r="K82" s="54">
        <f t="shared" si="12"/>
        <v>1.3187167068109126E-2</v>
      </c>
      <c r="L82" s="54">
        <f t="shared" si="12"/>
        <v>1.25510283657036E-2</v>
      </c>
      <c r="M82" s="54">
        <f t="shared" si="12"/>
        <v>1.2091656623903223E-2</v>
      </c>
      <c r="N82" s="54">
        <f t="shared" si="12"/>
        <v>1.2691853433587485E-2</v>
      </c>
      <c r="O82" s="54">
        <f t="shared" si="12"/>
        <v>1.1431012000935301E-2</v>
      </c>
      <c r="P82" s="55">
        <f t="shared" si="4"/>
        <v>1.3554777361355869E-2</v>
      </c>
    </row>
    <row r="83" spans="2:16" x14ac:dyDescent="0.35">
      <c r="B83" s="21" t="s">
        <v>130</v>
      </c>
      <c r="C83" s="54">
        <f t="shared" ref="C83:O83" si="13">C22/C$67</f>
        <v>3.9016140869216752E-2</v>
      </c>
      <c r="D83" s="54">
        <f t="shared" si="13"/>
        <v>4.5907481295331558E-2</v>
      </c>
      <c r="E83" s="54">
        <f t="shared" si="13"/>
        <v>3.9082041051124193E-2</v>
      </c>
      <c r="F83" s="54">
        <f t="shared" si="13"/>
        <v>4.637769830907347E-2</v>
      </c>
      <c r="G83" s="54">
        <f t="shared" si="13"/>
        <v>4.5445710220831992E-2</v>
      </c>
      <c r="H83" s="54">
        <f t="shared" si="13"/>
        <v>4.2266834480579683E-2</v>
      </c>
      <c r="I83" s="54">
        <f t="shared" si="13"/>
        <v>3.9112596684948465E-2</v>
      </c>
      <c r="J83" s="54">
        <f t="shared" si="13"/>
        <v>3.2960495839594768E-2</v>
      </c>
      <c r="K83" s="54">
        <f t="shared" si="13"/>
        <v>2.5687148481171006E-2</v>
      </c>
      <c r="L83" s="54">
        <f t="shared" si="13"/>
        <v>2.4626751145049627E-2</v>
      </c>
      <c r="M83" s="54">
        <f t="shared" si="13"/>
        <v>2.8806247000825087E-2</v>
      </c>
      <c r="N83" s="54">
        <f t="shared" si="13"/>
        <v>3.1789736177962651E-2</v>
      </c>
      <c r="O83" s="54">
        <f t="shared" si="13"/>
        <v>2.6764908481545693E-2</v>
      </c>
      <c r="P83" s="55">
        <f t="shared" si="4"/>
        <v>3.0238647830317787E-2</v>
      </c>
    </row>
    <row r="84" spans="2:16" x14ac:dyDescent="0.35">
      <c r="B84" s="21" t="s">
        <v>131</v>
      </c>
      <c r="C84" s="54">
        <f t="shared" ref="C84:O84" si="14">C23/C$67</f>
        <v>4.5979217474915499E-2</v>
      </c>
      <c r="D84" s="54">
        <f t="shared" si="14"/>
        <v>5.3228331194722339E-2</v>
      </c>
      <c r="E84" s="54">
        <f t="shared" si="14"/>
        <v>7.386982934123186E-2</v>
      </c>
      <c r="F84" s="54">
        <f t="shared" si="14"/>
        <v>7.2025398451803849E-2</v>
      </c>
      <c r="G84" s="54">
        <f t="shared" si="14"/>
        <v>7.9865930063898166E-2</v>
      </c>
      <c r="H84" s="54">
        <f t="shared" si="14"/>
        <v>7.857912374204308E-2</v>
      </c>
      <c r="I84" s="54">
        <f t="shared" si="14"/>
        <v>7.9428167599002092E-2</v>
      </c>
      <c r="J84" s="54">
        <f t="shared" si="14"/>
        <v>7.8180461336182228E-2</v>
      </c>
      <c r="K84" s="54">
        <f t="shared" si="14"/>
        <v>7.8821256744668791E-2</v>
      </c>
      <c r="L84" s="54">
        <f t="shared" si="14"/>
        <v>8.6030415387265094E-2</v>
      </c>
      <c r="M84" s="54">
        <f t="shared" si="14"/>
        <v>9.4647660419153928E-2</v>
      </c>
      <c r="N84" s="54">
        <f t="shared" si="14"/>
        <v>9.6156552515208521E-2</v>
      </c>
      <c r="O84" s="54">
        <f t="shared" si="14"/>
        <v>5.2835292060676664E-2</v>
      </c>
      <c r="P84" s="55">
        <f t="shared" si="4"/>
        <v>8.3421592297254432E-2</v>
      </c>
    </row>
    <row r="85" spans="2:16" x14ac:dyDescent="0.35">
      <c r="B85" s="8" t="s">
        <v>132</v>
      </c>
      <c r="C85" s="54">
        <f t="shared" ref="C85:O85" si="15">C24/C$67</f>
        <v>0.19839699851443302</v>
      </c>
      <c r="D85" s="54">
        <f t="shared" si="15"/>
        <v>0.24324658593310813</v>
      </c>
      <c r="E85" s="54">
        <f t="shared" si="15"/>
        <v>0.20354878849817834</v>
      </c>
      <c r="F85" s="54">
        <f t="shared" si="15"/>
        <v>0.23661637778123829</v>
      </c>
      <c r="G85" s="54">
        <f t="shared" si="15"/>
        <v>0.24310702762376199</v>
      </c>
      <c r="H85" s="54">
        <f t="shared" si="15"/>
        <v>0.22601283983612247</v>
      </c>
      <c r="I85" s="54">
        <f t="shared" si="15"/>
        <v>0.24180086093544928</v>
      </c>
      <c r="J85" s="54">
        <f t="shared" si="15"/>
        <v>0.24014506776191513</v>
      </c>
      <c r="K85" s="54">
        <f t="shared" si="15"/>
        <v>0.22257603491540395</v>
      </c>
      <c r="L85" s="54">
        <f t="shared" si="15"/>
        <v>0.25334673933486829</v>
      </c>
      <c r="M85" s="54">
        <f t="shared" si="15"/>
        <v>0.27776093619356429</v>
      </c>
      <c r="N85" s="54">
        <f t="shared" si="15"/>
        <v>0.26752379013761796</v>
      </c>
      <c r="O85" s="54">
        <f t="shared" si="15"/>
        <v>0.35333875415250898</v>
      </c>
      <c r="P85" s="55">
        <f t="shared" si="4"/>
        <v>0.24712592782824019</v>
      </c>
    </row>
    <row r="86" spans="2:16" x14ac:dyDescent="0.35">
      <c r="B86" s="8" t="s">
        <v>133</v>
      </c>
      <c r="C86" s="54">
        <f t="shared" ref="C86:O86" si="16">C25/C$67</f>
        <v>1.1648155371575519E-2</v>
      </c>
      <c r="D86" s="54">
        <f t="shared" si="16"/>
        <v>1.2713769318110789E-2</v>
      </c>
      <c r="E86" s="54">
        <f t="shared" si="16"/>
        <v>1.1074093566535702E-2</v>
      </c>
      <c r="F86" s="54">
        <f t="shared" si="16"/>
        <v>1.2325123034692973E-2</v>
      </c>
      <c r="G86" s="54">
        <f t="shared" si="16"/>
        <v>1.7320128121608481E-2</v>
      </c>
      <c r="H86" s="54">
        <f t="shared" si="16"/>
        <v>1.6321068415246203E-2</v>
      </c>
      <c r="I86" s="54">
        <f t="shared" si="16"/>
        <v>8.7880369139149688E-3</v>
      </c>
      <c r="J86" s="54">
        <f t="shared" si="16"/>
        <v>1.2275357295978317E-2</v>
      </c>
      <c r="K86" s="54">
        <f t="shared" si="16"/>
        <v>1.9632055097207564E-2</v>
      </c>
      <c r="L86" s="54">
        <f t="shared" si="16"/>
        <v>1.5308092684902108E-2</v>
      </c>
      <c r="M86" s="54">
        <f t="shared" si="16"/>
        <v>2.0601120903263614E-2</v>
      </c>
      <c r="N86" s="54">
        <f t="shared" si="16"/>
        <v>4.9532475529455661E-3</v>
      </c>
      <c r="O86" s="54">
        <f t="shared" si="16"/>
        <v>2.0162287529517833E-2</v>
      </c>
      <c r="P86" s="55">
        <f t="shared" si="4"/>
        <v>1.5320932579053315E-2</v>
      </c>
    </row>
    <row r="87" spans="2:16" x14ac:dyDescent="0.35">
      <c r="B87" s="8" t="s">
        <v>134</v>
      </c>
      <c r="C87" s="54">
        <f t="shared" ref="C87:O87" si="17">C26/C$67</f>
        <v>3.220763792475894E-2</v>
      </c>
      <c r="D87" s="54">
        <f t="shared" si="17"/>
        <v>3.6122943539148342E-2</v>
      </c>
      <c r="E87" s="54">
        <f t="shared" si="17"/>
        <v>4.2730866675642264E-2</v>
      </c>
      <c r="F87" s="54">
        <f t="shared" si="17"/>
        <v>5.7448747446471493E-2</v>
      </c>
      <c r="G87" s="54">
        <f t="shared" si="17"/>
        <v>4.8500168409557926E-2</v>
      </c>
      <c r="H87" s="54">
        <f t="shared" si="17"/>
        <v>4.4779899622418691E-2</v>
      </c>
      <c r="I87" s="54">
        <f t="shared" si="17"/>
        <v>4.4113758303137338E-2</v>
      </c>
      <c r="J87" s="54">
        <f t="shared" si="17"/>
        <v>4.2849983692473413E-2</v>
      </c>
      <c r="K87" s="54">
        <f t="shared" si="17"/>
        <v>4.0412995392351145E-2</v>
      </c>
      <c r="L87" s="54">
        <f t="shared" si="17"/>
        <v>4.2514463510417939E-2</v>
      </c>
      <c r="M87" s="54">
        <f t="shared" si="17"/>
        <v>4.7582961085053221E-2</v>
      </c>
      <c r="N87" s="54">
        <f t="shared" si="17"/>
        <v>5.029158263171115E-2</v>
      </c>
      <c r="O87" s="54">
        <f t="shared" si="17"/>
        <v>4.5774288886126988E-2</v>
      </c>
      <c r="P87" s="55">
        <f t="shared" si="4"/>
        <v>4.3494832396686611E-2</v>
      </c>
    </row>
    <row r="88" spans="2:16" x14ac:dyDescent="0.35">
      <c r="B88" s="8" t="s">
        <v>135</v>
      </c>
      <c r="C88" s="54">
        <f t="shared" ref="C88:O88" si="18">C27/C$67</f>
        <v>1.5519906953473179E-2</v>
      </c>
      <c r="D88" s="54">
        <f t="shared" si="18"/>
        <v>2.0437909985322127E-2</v>
      </c>
      <c r="E88" s="54">
        <f t="shared" si="18"/>
        <v>2.2639560358860753E-2</v>
      </c>
      <c r="F88" s="54">
        <f t="shared" si="18"/>
        <v>2.2465522182180724E-2</v>
      </c>
      <c r="G88" s="54">
        <f t="shared" si="18"/>
        <v>2.6067660503160128E-2</v>
      </c>
      <c r="H88" s="54">
        <f t="shared" si="18"/>
        <v>2.7590497796147532E-2</v>
      </c>
      <c r="I88" s="54">
        <f t="shared" si="18"/>
        <v>2.6428942416579389E-2</v>
      </c>
      <c r="J88" s="54">
        <f t="shared" si="18"/>
        <v>2.7545421057612894E-2</v>
      </c>
      <c r="K88" s="54">
        <f t="shared" si="18"/>
        <v>2.6183685256649505E-2</v>
      </c>
      <c r="L88" s="54">
        <f t="shared" si="18"/>
        <v>2.7798339485164504E-2</v>
      </c>
      <c r="M88" s="54">
        <f t="shared" si="18"/>
        <v>2.681074458704694E-2</v>
      </c>
      <c r="N88" s="54">
        <f t="shared" si="18"/>
        <v>2.7101620445314865E-2</v>
      </c>
      <c r="O88" s="54">
        <f t="shared" si="18"/>
        <v>2.4735893055382936E-2</v>
      </c>
      <c r="P88" s="55">
        <f t="shared" si="4"/>
        <v>2.6953426560610644E-2</v>
      </c>
    </row>
    <row r="89" spans="2:16" x14ac:dyDescent="0.35">
      <c r="B89" s="6" t="s">
        <v>136</v>
      </c>
      <c r="C89" s="54">
        <f t="shared" ref="C89:O89" si="19">C28/C$67</f>
        <v>0.39537586149251469</v>
      </c>
      <c r="D89" s="54">
        <f t="shared" si="19"/>
        <v>0.41985912438261802</v>
      </c>
      <c r="E89" s="54">
        <f t="shared" si="19"/>
        <v>0.48407524815490249</v>
      </c>
      <c r="F89" s="54">
        <f t="shared" si="19"/>
        <v>0.43321403813330656</v>
      </c>
      <c r="G89" s="54">
        <f t="shared" si="19"/>
        <v>0.43718795642258335</v>
      </c>
      <c r="H89" s="54">
        <f t="shared" si="19"/>
        <v>0.42043924255843707</v>
      </c>
      <c r="I89" s="54">
        <f t="shared" si="19"/>
        <v>0.413305089590563</v>
      </c>
      <c r="J89" s="54">
        <f t="shared" si="19"/>
        <v>0.43959201904882522</v>
      </c>
      <c r="K89" s="54">
        <f t="shared" si="19"/>
        <v>0.49661802695084789</v>
      </c>
      <c r="L89" s="54">
        <f t="shared" si="19"/>
        <v>0.43111843084725954</v>
      </c>
      <c r="M89" s="54">
        <f t="shared" si="19"/>
        <v>0.47236173458920244</v>
      </c>
      <c r="N89" s="54">
        <f t="shared" si="19"/>
        <v>0.52238713895209432</v>
      </c>
      <c r="O89" s="54">
        <f t="shared" si="19"/>
        <v>0.4702324351766225</v>
      </c>
      <c r="P89" s="55">
        <f t="shared" si="4"/>
        <v>0.45059906020533963</v>
      </c>
    </row>
    <row r="90" spans="2:16" x14ac:dyDescent="0.35">
      <c r="B90" s="8" t="s">
        <v>137</v>
      </c>
      <c r="C90" s="54">
        <f t="shared" ref="C90:O90" si="20">C29/C$67</f>
        <v>0.27824400171201819</v>
      </c>
      <c r="D90" s="54">
        <f t="shared" si="20"/>
        <v>0.30851520837729501</v>
      </c>
      <c r="E90" s="54">
        <f t="shared" si="20"/>
        <v>0.35392417251100527</v>
      </c>
      <c r="F90" s="54">
        <f t="shared" si="20"/>
        <v>0.33960109208551287</v>
      </c>
      <c r="G90" s="54">
        <f t="shared" si="20"/>
        <v>0.31579089115237546</v>
      </c>
      <c r="H90" s="54">
        <f t="shared" si="20"/>
        <v>0.30246891040083695</v>
      </c>
      <c r="I90" s="54">
        <f t="shared" si="20"/>
        <v>0.29116282237945623</v>
      </c>
      <c r="J90" s="54">
        <f t="shared" si="20"/>
        <v>0.28488091420198319</v>
      </c>
      <c r="K90" s="54">
        <f t="shared" si="20"/>
        <v>0.28649534678659455</v>
      </c>
      <c r="L90" s="54">
        <f t="shared" si="20"/>
        <v>0.26347588817192824</v>
      </c>
      <c r="M90" s="54">
        <f t="shared" si="20"/>
        <v>0.28113504514728227</v>
      </c>
      <c r="N90" s="54">
        <f t="shared" si="20"/>
        <v>0.28208336002984724</v>
      </c>
      <c r="O90" s="54">
        <f t="shared" si="20"/>
        <v>0.23514965884650305</v>
      </c>
      <c r="P90" s="55">
        <f t="shared" si="4"/>
        <v>0.28143000333744894</v>
      </c>
    </row>
    <row r="91" spans="2:16" x14ac:dyDescent="0.35">
      <c r="B91" s="20" t="s">
        <v>138</v>
      </c>
      <c r="C91" s="54">
        <f t="shared" ref="C91:O91" si="21">C30/C$67</f>
        <v>5.1986693919845783E-2</v>
      </c>
      <c r="D91" s="54">
        <f t="shared" si="21"/>
        <v>5.7517892926511265E-2</v>
      </c>
      <c r="E91" s="54">
        <f t="shared" si="21"/>
        <v>8.1190001183147079E-2</v>
      </c>
      <c r="F91" s="54">
        <f t="shared" si="21"/>
        <v>6.2855117453864476E-2</v>
      </c>
      <c r="G91" s="54">
        <f t="shared" si="21"/>
        <v>5.8177007929874999E-2</v>
      </c>
      <c r="H91" s="54">
        <f t="shared" si="21"/>
        <v>5.3067006438046106E-2</v>
      </c>
      <c r="I91" s="54">
        <f t="shared" si="21"/>
        <v>5.2211514251413092E-2</v>
      </c>
      <c r="J91" s="54">
        <f t="shared" si="21"/>
        <v>5.1100775067119603E-2</v>
      </c>
      <c r="K91" s="54">
        <f t="shared" si="21"/>
        <v>4.700647271533074E-2</v>
      </c>
      <c r="L91" s="54">
        <f t="shared" si="21"/>
        <v>4.4748159976246184E-2</v>
      </c>
      <c r="M91" s="54">
        <f t="shared" si="21"/>
        <v>4.6516155176999044E-2</v>
      </c>
      <c r="N91" s="54">
        <f t="shared" si="21"/>
        <v>4.6352708103814193E-2</v>
      </c>
      <c r="O91" s="54">
        <f t="shared" si="21"/>
        <v>3.5113847735368527E-2</v>
      </c>
      <c r="P91" s="55">
        <f t="shared" si="4"/>
        <v>4.8316615437421731E-2</v>
      </c>
    </row>
    <row r="92" spans="2:16" x14ac:dyDescent="0.35">
      <c r="B92" s="21" t="s">
        <v>139</v>
      </c>
      <c r="C92" s="54">
        <f t="shared" ref="C92:O92" si="22">C31/C$67</f>
        <v>4.6943857897750782E-2</v>
      </c>
      <c r="D92" s="54">
        <f t="shared" si="22"/>
        <v>5.2699420049558549E-2</v>
      </c>
      <c r="E92" s="54">
        <f t="shared" si="22"/>
        <v>7.5355698893145501E-2</v>
      </c>
      <c r="F92" s="54">
        <f t="shared" si="22"/>
        <v>5.733172512100753E-2</v>
      </c>
      <c r="G92" s="54">
        <f t="shared" si="22"/>
        <v>5.3320800376706182E-2</v>
      </c>
      <c r="H92" s="54">
        <f t="shared" si="22"/>
        <v>4.8955695055186953E-2</v>
      </c>
      <c r="I92" s="54">
        <f t="shared" si="22"/>
        <v>4.8465265183444441E-2</v>
      </c>
      <c r="J92" s="54">
        <f t="shared" si="22"/>
        <v>4.7367974287445068E-2</v>
      </c>
      <c r="K92" s="54">
        <f t="shared" si="22"/>
        <v>4.3564702830971233E-2</v>
      </c>
      <c r="L92" s="54">
        <f t="shared" si="22"/>
        <v>4.1451776552369521E-2</v>
      </c>
      <c r="M92" s="54">
        <f t="shared" si="22"/>
        <v>4.305552506285492E-2</v>
      </c>
      <c r="N92" s="54">
        <f t="shared" si="22"/>
        <v>4.3456783683393146E-2</v>
      </c>
      <c r="O92" s="54">
        <f t="shared" si="22"/>
        <v>3.4575733127173686E-2</v>
      </c>
      <c r="P92" s="55">
        <f t="shared" si="4"/>
        <v>4.4781048783417043E-2</v>
      </c>
    </row>
    <row r="93" spans="2:16" x14ac:dyDescent="0.35">
      <c r="B93" s="21" t="s">
        <v>140</v>
      </c>
      <c r="C93" s="54">
        <f t="shared" ref="C93:O93" si="23">C32/C$67</f>
        <v>3.604248745330186E-3</v>
      </c>
      <c r="D93" s="54">
        <f t="shared" si="23"/>
        <v>3.7128861845934858E-3</v>
      </c>
      <c r="E93" s="54">
        <f t="shared" si="23"/>
        <v>4.4690321448824805E-3</v>
      </c>
      <c r="F93" s="54">
        <f t="shared" si="23"/>
        <v>4.0945528103940396E-3</v>
      </c>
      <c r="G93" s="54">
        <f t="shared" si="23"/>
        <v>3.6267489150251897E-3</v>
      </c>
      <c r="H93" s="54">
        <f t="shared" si="23"/>
        <v>3.0418861455112369E-3</v>
      </c>
      <c r="I93" s="54">
        <f t="shared" si="23"/>
        <v>2.7335126239312803E-3</v>
      </c>
      <c r="J93" s="54">
        <f t="shared" si="23"/>
        <v>2.7771592946886944E-3</v>
      </c>
      <c r="K93" s="54">
        <f t="shared" si="23"/>
        <v>2.514122355583208E-3</v>
      </c>
      <c r="L93" s="54">
        <f t="shared" si="23"/>
        <v>2.4405414501084475E-3</v>
      </c>
      <c r="M93" s="54">
        <f t="shared" si="23"/>
        <v>2.4938642978326558E-3</v>
      </c>
      <c r="N93" s="54">
        <f t="shared" si="23"/>
        <v>2.1611985591253602E-3</v>
      </c>
      <c r="O93" s="54">
        <f t="shared" si="23"/>
        <v>2.9396709169540329E-4</v>
      </c>
      <c r="P93" s="55">
        <f t="shared" si="4"/>
        <v>2.5918400044288572E-3</v>
      </c>
    </row>
    <row r="94" spans="2:16" x14ac:dyDescent="0.35">
      <c r="B94" s="20" t="s">
        <v>141</v>
      </c>
      <c r="C94" s="54">
        <f t="shared" ref="C94:O94" si="24">C33/C$67</f>
        <v>7.1126114323450507E-2</v>
      </c>
      <c r="D94" s="54">
        <f t="shared" si="24"/>
        <v>8.1409965252088781E-2</v>
      </c>
      <c r="E94" s="54">
        <f t="shared" si="24"/>
        <v>8.5971057774296325E-2</v>
      </c>
      <c r="F94" s="54">
        <f t="shared" si="24"/>
        <v>8.6332375961710034E-2</v>
      </c>
      <c r="G94" s="54">
        <f t="shared" si="24"/>
        <v>8.283509088299211E-2</v>
      </c>
      <c r="H94" s="54">
        <f t="shared" si="24"/>
        <v>8.0504063272060541E-2</v>
      </c>
      <c r="I94" s="54">
        <f t="shared" si="24"/>
        <v>8.1396471843226542E-2</v>
      </c>
      <c r="J94" s="54">
        <f t="shared" si="24"/>
        <v>7.3806821289708599E-2</v>
      </c>
      <c r="K94" s="54">
        <f t="shared" si="24"/>
        <v>7.2855699296903928E-2</v>
      </c>
      <c r="L94" s="54">
        <f t="shared" si="24"/>
        <v>4.7182029007506891E-2</v>
      </c>
      <c r="M94" s="54">
        <f t="shared" si="24"/>
        <v>4.9068962015372003E-2</v>
      </c>
      <c r="N94" s="54">
        <f t="shared" si="24"/>
        <v>5.2848097497747576E-2</v>
      </c>
      <c r="O94" s="54">
        <f t="shared" si="24"/>
        <v>5.2553858857878333E-2</v>
      </c>
      <c r="P94" s="55">
        <f t="shared" si="4"/>
        <v>6.48619966905436E-2</v>
      </c>
    </row>
    <row r="95" spans="2:16" x14ac:dyDescent="0.35">
      <c r="B95" s="20" t="s">
        <v>142</v>
      </c>
      <c r="C95" s="54">
        <f t="shared" ref="C95:O95" si="25">C34/C$67</f>
        <v>5.8806163739597776E-4</v>
      </c>
      <c r="D95" s="54">
        <f t="shared" si="25"/>
        <v>6.5564602522109677E-4</v>
      </c>
      <c r="E95" s="54">
        <f t="shared" si="25"/>
        <v>7.2424921157525823E-4</v>
      </c>
      <c r="F95" s="54">
        <f t="shared" si="25"/>
        <v>1.2201343514582793E-3</v>
      </c>
      <c r="G95" s="54">
        <f t="shared" si="25"/>
        <v>1.1092859893025221E-3</v>
      </c>
      <c r="H95" s="54">
        <f t="shared" si="25"/>
        <v>9.3773793060583925E-4</v>
      </c>
      <c r="I95" s="54">
        <f t="shared" si="25"/>
        <v>8.9304719818909188E-4</v>
      </c>
      <c r="J95" s="54">
        <f t="shared" si="25"/>
        <v>8.1923475598061801E-4</v>
      </c>
      <c r="K95" s="54">
        <f t="shared" si="25"/>
        <v>4.9218212140478171E-4</v>
      </c>
      <c r="L95" s="54">
        <f t="shared" si="25"/>
        <v>4.9719946070174664E-4</v>
      </c>
      <c r="M95" s="54">
        <f t="shared" si="25"/>
        <v>5.1631502484292898E-4</v>
      </c>
      <c r="N95" s="54">
        <f t="shared" si="25"/>
        <v>5.1744931395156983E-4</v>
      </c>
      <c r="O95" s="54">
        <f t="shared" si="25"/>
        <v>4.9724781078251494E-4</v>
      </c>
      <c r="P95" s="55">
        <f t="shared" si="4"/>
        <v>6.4359571222383347E-4</v>
      </c>
    </row>
    <row r="96" spans="2:16" x14ac:dyDescent="0.35">
      <c r="B96" s="20" t="s">
        <v>143</v>
      </c>
      <c r="C96" s="54">
        <f t="shared" ref="C96:O96" si="26">C35/C$67</f>
        <v>4.1389580164301575E-2</v>
      </c>
      <c r="D96" s="54">
        <f t="shared" si="26"/>
        <v>5.1181308138319323E-2</v>
      </c>
      <c r="E96" s="54">
        <f t="shared" si="26"/>
        <v>5.5102505415957799E-2</v>
      </c>
      <c r="F96" s="54">
        <f t="shared" si="26"/>
        <v>5.8344075737094749E-2</v>
      </c>
      <c r="G96" s="54">
        <f t="shared" si="26"/>
        <v>5.260354614044125E-2</v>
      </c>
      <c r="H96" s="54">
        <f t="shared" si="26"/>
        <v>4.8504306705823244E-2</v>
      </c>
      <c r="I96" s="54">
        <f t="shared" si="26"/>
        <v>4.3426031681159522E-2</v>
      </c>
      <c r="J96" s="54">
        <f t="shared" si="26"/>
        <v>4.3641074630822341E-2</v>
      </c>
      <c r="K96" s="54">
        <f t="shared" si="26"/>
        <v>4.5685737998095423E-2</v>
      </c>
      <c r="L96" s="54">
        <f t="shared" si="26"/>
        <v>5.0398760431388558E-2</v>
      </c>
      <c r="M96" s="54">
        <f t="shared" si="26"/>
        <v>5.3517123024329857E-2</v>
      </c>
      <c r="N96" s="54">
        <f t="shared" si="26"/>
        <v>4.73704831624851E-2</v>
      </c>
      <c r="O96" s="54">
        <f t="shared" si="26"/>
        <v>2.698788531175679E-2</v>
      </c>
      <c r="P96" s="55">
        <f t="shared" si="4"/>
        <v>4.7333745553159133E-2</v>
      </c>
    </row>
    <row r="97" spans="2:16" x14ac:dyDescent="0.35">
      <c r="B97" s="20" t="s">
        <v>144</v>
      </c>
      <c r="C97" s="54">
        <f t="shared" ref="C97:O97" si="27">C36/C$67</f>
        <v>1.533732329992685E-3</v>
      </c>
      <c r="D97" s="54">
        <f t="shared" si="27"/>
        <v>1.6473942260715607E-3</v>
      </c>
      <c r="E97" s="54">
        <f t="shared" si="27"/>
        <v>1.6722356176231798E-3</v>
      </c>
      <c r="F97" s="54">
        <f t="shared" si="27"/>
        <v>1.6888379437365259E-3</v>
      </c>
      <c r="G97" s="54">
        <f t="shared" si="27"/>
        <v>1.5500590964155317E-3</v>
      </c>
      <c r="H97" s="54">
        <f t="shared" si="27"/>
        <v>1.5043688591243635E-3</v>
      </c>
      <c r="I97" s="54">
        <f t="shared" si="27"/>
        <v>1.40452410753057E-3</v>
      </c>
      <c r="J97" s="54">
        <f t="shared" si="27"/>
        <v>1.3073257222463942E-3</v>
      </c>
      <c r="K97" s="54">
        <f t="shared" si="27"/>
        <v>1.1532398520097365E-3</v>
      </c>
      <c r="L97" s="54">
        <f t="shared" si="27"/>
        <v>1.1433815234883739E-3</v>
      </c>
      <c r="M97" s="54">
        <f t="shared" si="27"/>
        <v>1.1839339289810521E-3</v>
      </c>
      <c r="N97" s="54">
        <f t="shared" si="27"/>
        <v>1.1547636125287827E-3</v>
      </c>
      <c r="O97" s="54">
        <f t="shared" si="27"/>
        <v>9.3719784374980241E-4</v>
      </c>
      <c r="P97" s="55">
        <f t="shared" si="4"/>
        <v>1.2384810268512253E-3</v>
      </c>
    </row>
    <row r="98" spans="2:16" x14ac:dyDescent="0.35">
      <c r="B98" s="20" t="s">
        <v>145</v>
      </c>
      <c r="C98" s="54">
        <f t="shared" ref="C98:O98" si="28">C37/C$67</f>
        <v>1.0847128872047983E-2</v>
      </c>
      <c r="D98" s="54">
        <f t="shared" si="28"/>
        <v>1.140757213721864E-2</v>
      </c>
      <c r="E98" s="54">
        <f t="shared" si="28"/>
        <v>1.3881987197532525E-2</v>
      </c>
      <c r="F98" s="54">
        <f t="shared" si="28"/>
        <v>1.451184336577094E-2</v>
      </c>
      <c r="G98" s="54">
        <f t="shared" si="28"/>
        <v>1.4619044749929299E-2</v>
      </c>
      <c r="H98" s="54">
        <f t="shared" si="28"/>
        <v>1.532337844627106E-2</v>
      </c>
      <c r="I98" s="54">
        <f t="shared" si="28"/>
        <v>1.4216503736031692E-2</v>
      </c>
      <c r="J98" s="54">
        <f t="shared" si="28"/>
        <v>1.3545233583472861E-2</v>
      </c>
      <c r="K98" s="54">
        <f t="shared" si="28"/>
        <v>1.4478375106503157E-2</v>
      </c>
      <c r="L98" s="54">
        <f t="shared" si="28"/>
        <v>1.6470865925666753E-2</v>
      </c>
      <c r="M98" s="54">
        <f t="shared" si="28"/>
        <v>2.0251791718043113E-2</v>
      </c>
      <c r="N98" s="54">
        <f t="shared" si="28"/>
        <v>2.0501902020297669E-2</v>
      </c>
      <c r="O98" s="54">
        <f t="shared" si="28"/>
        <v>1.845567743036319E-2</v>
      </c>
      <c r="P98" s="55">
        <f t="shared" si="4"/>
        <v>1.5792554013943517E-2</v>
      </c>
    </row>
    <row r="99" spans="2:16" x14ac:dyDescent="0.35">
      <c r="B99" s="20" t="s">
        <v>146</v>
      </c>
      <c r="C99" s="54">
        <f t="shared" ref="C99:O99" si="29">C38/C$67</f>
        <v>2.2013779137802047E-3</v>
      </c>
      <c r="D99" s="54">
        <f t="shared" si="29"/>
        <v>2.7383331684744153E-3</v>
      </c>
      <c r="E99" s="54">
        <f t="shared" si="29"/>
        <v>3.01612751877736E-3</v>
      </c>
      <c r="F99" s="54">
        <f t="shared" si="29"/>
        <v>3.0001944229186843E-3</v>
      </c>
      <c r="G99" s="54">
        <f t="shared" si="29"/>
        <v>2.9956324165659525E-3</v>
      </c>
      <c r="H99" s="54">
        <f t="shared" si="29"/>
        <v>2.6820444292514154E-3</v>
      </c>
      <c r="I99" s="54">
        <f t="shared" si="29"/>
        <v>2.2070745588587677E-3</v>
      </c>
      <c r="J99" s="54">
        <f t="shared" si="29"/>
        <v>2.2366391197703285E-3</v>
      </c>
      <c r="K99" s="54">
        <f t="shared" si="29"/>
        <v>2.4396683920301756E-3</v>
      </c>
      <c r="L99" s="54">
        <f t="shared" si="29"/>
        <v>2.533121261620956E-3</v>
      </c>
      <c r="M99" s="54">
        <f t="shared" si="29"/>
        <v>2.5942288439269661E-3</v>
      </c>
      <c r="N99" s="54">
        <f t="shared" si="29"/>
        <v>2.5605973063831792E-3</v>
      </c>
      <c r="O99" s="54">
        <f t="shared" si="29"/>
        <v>2.3642706224603076E-3</v>
      </c>
      <c r="P99" s="55">
        <f t="shared" si="4"/>
        <v>2.4021464352414388E-3</v>
      </c>
    </row>
    <row r="100" spans="2:16" x14ac:dyDescent="0.35">
      <c r="B100" s="20" t="s">
        <v>147</v>
      </c>
      <c r="C100" s="54">
        <f t="shared" ref="C100:O100" si="30">C39/C$67</f>
        <v>5.1244947827313808E-3</v>
      </c>
      <c r="D100" s="54">
        <f t="shared" si="30"/>
        <v>6.0875730389336165E-3</v>
      </c>
      <c r="E100" s="54">
        <f t="shared" si="30"/>
        <v>6.1794548547788935E-3</v>
      </c>
      <c r="F100" s="54">
        <f t="shared" si="30"/>
        <v>6.1748473257941467E-3</v>
      </c>
      <c r="G100" s="54">
        <f t="shared" si="30"/>
        <v>5.9300580178130655E-3</v>
      </c>
      <c r="H100" s="54">
        <f t="shared" si="30"/>
        <v>5.5289245925074192E-3</v>
      </c>
      <c r="I100" s="54">
        <f t="shared" si="30"/>
        <v>5.0821708028788663E-3</v>
      </c>
      <c r="J100" s="54">
        <f t="shared" si="30"/>
        <v>4.9248276361394758E-3</v>
      </c>
      <c r="K100" s="54">
        <f t="shared" si="30"/>
        <v>5.0349360088894424E-3</v>
      </c>
      <c r="L100" s="54">
        <f t="shared" si="30"/>
        <v>5.4124785075133517E-3</v>
      </c>
      <c r="M100" s="54">
        <f t="shared" si="30"/>
        <v>6.020250493900637E-3</v>
      </c>
      <c r="N100" s="54">
        <f t="shared" si="30"/>
        <v>5.2062454533238151E-3</v>
      </c>
      <c r="O100" s="54">
        <f t="shared" si="30"/>
        <v>3.3028377145770181E-3</v>
      </c>
      <c r="P100" s="55">
        <f t="shared" si="4"/>
        <v>5.2949326898643545E-3</v>
      </c>
    </row>
    <row r="101" spans="2:16" x14ac:dyDescent="0.35">
      <c r="B101" s="20" t="s">
        <v>148</v>
      </c>
      <c r="C101" s="54">
        <f t="shared" ref="C101:O101" si="31">C40/C$67</f>
        <v>5.463578710745997E-3</v>
      </c>
      <c r="D101" s="54">
        <f t="shared" si="31"/>
        <v>6.1184606855807493E-3</v>
      </c>
      <c r="E101" s="54">
        <f t="shared" si="31"/>
        <v>6.2701899971033285E-3</v>
      </c>
      <c r="F101" s="54">
        <f t="shared" si="31"/>
        <v>3.0964844466272231E-3</v>
      </c>
      <c r="G101" s="54">
        <f t="shared" si="31"/>
        <v>2.7250338646300338E-3</v>
      </c>
      <c r="H101" s="54">
        <f t="shared" si="31"/>
        <v>2.7013378498065474E-3</v>
      </c>
      <c r="I101" s="54">
        <f t="shared" si="31"/>
        <v>2.6010516597760203E-3</v>
      </c>
      <c r="J101" s="54">
        <f t="shared" si="31"/>
        <v>2.5061615668480353E-3</v>
      </c>
      <c r="K101" s="54">
        <f t="shared" si="31"/>
        <v>3.6249839886804487E-3</v>
      </c>
      <c r="L101" s="54">
        <f t="shared" si="31"/>
        <v>3.6428279212371E-3</v>
      </c>
      <c r="M101" s="54">
        <f t="shared" si="31"/>
        <v>3.9757554730311924E-3</v>
      </c>
      <c r="N101" s="54">
        <f t="shared" si="31"/>
        <v>4.2416555202815075E-3</v>
      </c>
      <c r="O101" s="54">
        <f t="shared" si="31"/>
        <v>3.8829777149561946E-3</v>
      </c>
      <c r="P101" s="55">
        <f t="shared" si="4"/>
        <v>3.2701561219145594E-3</v>
      </c>
    </row>
    <row r="102" spans="2:16" x14ac:dyDescent="0.35">
      <c r="B102" s="20" t="s">
        <v>149</v>
      </c>
      <c r="C102" s="54">
        <f t="shared" ref="C102:O102" si="32">C41/C$67</f>
        <v>4.4352414905939781E-2</v>
      </c>
      <c r="D102" s="54">
        <f t="shared" si="32"/>
        <v>5.64584784894493E-2</v>
      </c>
      <c r="E102" s="54">
        <f t="shared" si="32"/>
        <v>6.4489023250880212E-2</v>
      </c>
      <c r="F102" s="54">
        <f t="shared" si="32"/>
        <v>6.5152410060971389E-2</v>
      </c>
      <c r="G102" s="54">
        <f t="shared" si="32"/>
        <v>5.933097349374665E-2</v>
      </c>
      <c r="H102" s="54">
        <f t="shared" si="32"/>
        <v>5.9059361582008689E-2</v>
      </c>
      <c r="I102" s="54">
        <f t="shared" si="32"/>
        <v>5.6046678805880823E-2</v>
      </c>
      <c r="J102" s="54">
        <f t="shared" si="32"/>
        <v>5.5328816250603451E-2</v>
      </c>
      <c r="K102" s="54">
        <f t="shared" si="32"/>
        <v>5.6068507842731992E-2</v>
      </c>
      <c r="L102" s="54">
        <f t="shared" si="32"/>
        <v>5.4345913206009677E-2</v>
      </c>
      <c r="M102" s="54">
        <f t="shared" si="32"/>
        <v>5.7358121789997357E-2</v>
      </c>
      <c r="N102" s="54">
        <f t="shared" si="32"/>
        <v>6.0927246943981557E-2</v>
      </c>
      <c r="O102" s="54">
        <f t="shared" si="32"/>
        <v>5.5689437618097672E-2</v>
      </c>
      <c r="P102" s="55">
        <f t="shared" si="4"/>
        <v>5.5829607579044663E-2</v>
      </c>
    </row>
    <row r="103" spans="2:16" x14ac:dyDescent="0.35">
      <c r="B103" s="20" t="s">
        <v>150</v>
      </c>
      <c r="C103" s="54">
        <f t="shared" ref="C103:O103" si="33">C42/C$67</f>
        <v>2.0506574789939881E-2</v>
      </c>
      <c r="D103" s="54">
        <f t="shared" si="33"/>
        <v>1.8557107047989244E-2</v>
      </c>
      <c r="E103" s="54">
        <f t="shared" si="33"/>
        <v>1.9965321550820245E-2</v>
      </c>
      <c r="F103" s="54">
        <f t="shared" si="33"/>
        <v>2.198069346631492E-2</v>
      </c>
      <c r="G103" s="54">
        <f t="shared" si="33"/>
        <v>1.9815321290727727E-2</v>
      </c>
      <c r="H103" s="54">
        <f t="shared" si="33"/>
        <v>1.946369470298491E-2</v>
      </c>
      <c r="I103" s="54">
        <f t="shared" si="33"/>
        <v>1.8499164972893545E-2</v>
      </c>
      <c r="J103" s="54">
        <f t="shared" si="33"/>
        <v>1.7909568012826321E-2</v>
      </c>
      <c r="K103" s="54">
        <f t="shared" si="33"/>
        <v>1.9245340573246665E-2</v>
      </c>
      <c r="L103" s="54">
        <f t="shared" si="33"/>
        <v>1.8248022983146719E-2</v>
      </c>
      <c r="M103" s="54">
        <f t="shared" si="33"/>
        <v>2.0658441172045922E-2</v>
      </c>
      <c r="N103" s="54">
        <f t="shared" si="33"/>
        <v>2.0966733214224355E-2</v>
      </c>
      <c r="O103" s="54">
        <f t="shared" si="33"/>
        <v>1.767436324684599E-2</v>
      </c>
      <c r="P103" s="55">
        <f t="shared" si="4"/>
        <v>1.8912107542831832E-2</v>
      </c>
    </row>
    <row r="104" spans="2:16" x14ac:dyDescent="0.35">
      <c r="B104" s="20" t="s">
        <v>151</v>
      </c>
      <c r="C104" s="54">
        <f t="shared" ref="C104:O104" si="34">C43/C$67</f>
        <v>2.3124249361846417E-2</v>
      </c>
      <c r="D104" s="54">
        <f t="shared" si="34"/>
        <v>1.4735477241437037E-2</v>
      </c>
      <c r="E104" s="54">
        <f t="shared" si="34"/>
        <v>1.5462018938513069E-2</v>
      </c>
      <c r="F104" s="54">
        <f t="shared" si="34"/>
        <v>1.5244077549251502E-2</v>
      </c>
      <c r="G104" s="54">
        <f t="shared" si="34"/>
        <v>1.4099837279936311E-2</v>
      </c>
      <c r="H104" s="54">
        <f t="shared" si="34"/>
        <v>1.3192685592346856E-2</v>
      </c>
      <c r="I104" s="54">
        <f t="shared" si="34"/>
        <v>1.3178588761617701E-2</v>
      </c>
      <c r="J104" s="54">
        <f t="shared" si="34"/>
        <v>1.775443656644517E-2</v>
      </c>
      <c r="K104" s="54">
        <f t="shared" si="34"/>
        <v>1.8410202890768071E-2</v>
      </c>
      <c r="L104" s="54">
        <f t="shared" si="34"/>
        <v>1.8853127967401899E-2</v>
      </c>
      <c r="M104" s="54">
        <f t="shared" si="34"/>
        <v>1.9473966485812209E-2</v>
      </c>
      <c r="N104" s="54">
        <f t="shared" si="34"/>
        <v>1.9435477880827896E-2</v>
      </c>
      <c r="O104" s="54">
        <f t="shared" si="34"/>
        <v>1.7690056939666705E-2</v>
      </c>
      <c r="P104" s="55">
        <f t="shared" si="4"/>
        <v>1.7534064534409012E-2</v>
      </c>
    </row>
    <row r="105" spans="2:16" x14ac:dyDescent="0.35">
      <c r="B105" s="8" t="s">
        <v>152</v>
      </c>
      <c r="C105" s="54">
        <f t="shared" ref="C105:O105" si="35">C44/C$67</f>
        <v>0.11713185978049651</v>
      </c>
      <c r="D105" s="54">
        <f t="shared" si="35"/>
        <v>0.11134391600532297</v>
      </c>
      <c r="E105" s="54">
        <f t="shared" si="35"/>
        <v>0.13015107564389719</v>
      </c>
      <c r="F105" s="54">
        <f t="shared" si="35"/>
        <v>9.3612946047793633E-2</v>
      </c>
      <c r="G105" s="54">
        <f t="shared" si="35"/>
        <v>0.1213970652702079</v>
      </c>
      <c r="H105" s="54">
        <f t="shared" si="35"/>
        <v>0.11797033215760006</v>
      </c>
      <c r="I105" s="54">
        <f t="shared" si="35"/>
        <v>0.12214226721110677</v>
      </c>
      <c r="J105" s="54">
        <f t="shared" si="35"/>
        <v>0.15471110484684203</v>
      </c>
      <c r="K105" s="54">
        <f t="shared" si="35"/>
        <v>0.21012268016425328</v>
      </c>
      <c r="L105" s="54">
        <f t="shared" si="35"/>
        <v>0.16764254267533135</v>
      </c>
      <c r="M105" s="54">
        <f t="shared" si="35"/>
        <v>0.19122668944192012</v>
      </c>
      <c r="N105" s="54">
        <f t="shared" si="35"/>
        <v>0.24030377892224711</v>
      </c>
      <c r="O105" s="54">
        <f t="shared" si="35"/>
        <v>0.23508277633011945</v>
      </c>
      <c r="P105" s="55">
        <f t="shared" si="4"/>
        <v>0.16916905686789069</v>
      </c>
    </row>
    <row r="106" spans="2:16" x14ac:dyDescent="0.35">
      <c r="B106" s="20" t="s">
        <v>153</v>
      </c>
      <c r="C106" s="54">
        <f t="shared" ref="C106:O106" si="36">C45/C$67</f>
        <v>2.592895361782396E-2</v>
      </c>
      <c r="D106" s="54">
        <f t="shared" si="36"/>
        <v>1.8045868731577167E-2</v>
      </c>
      <c r="E106" s="54">
        <f t="shared" si="36"/>
        <v>1.7657123973415907E-2</v>
      </c>
      <c r="F106" s="54">
        <f t="shared" si="36"/>
        <v>5.9590778149321098E-3</v>
      </c>
      <c r="G106" s="54">
        <f t="shared" si="36"/>
        <v>6.2663453486609642E-3</v>
      </c>
      <c r="H106" s="54">
        <f t="shared" si="36"/>
        <v>6.099699074433757E-3</v>
      </c>
      <c r="I106" s="54">
        <f t="shared" si="36"/>
        <v>6.5796243655192798E-3</v>
      </c>
      <c r="J106" s="54">
        <f t="shared" si="36"/>
        <v>1.0220291193186655E-2</v>
      </c>
      <c r="K106" s="54">
        <f t="shared" si="36"/>
        <v>1.436133050188769E-2</v>
      </c>
      <c r="L106" s="54">
        <f t="shared" si="36"/>
        <v>2.7225449773158612E-2</v>
      </c>
      <c r="M106" s="54">
        <f t="shared" si="36"/>
        <v>4.2616646476593377E-2</v>
      </c>
      <c r="N106" s="54">
        <f t="shared" si="36"/>
        <v>4.3337032099888248E-2</v>
      </c>
      <c r="O106" s="54">
        <f t="shared" si="36"/>
        <v>3.5821749141059969E-2</v>
      </c>
      <c r="P106" s="55">
        <f t="shared" si="4"/>
        <v>2.0200668462069121E-2</v>
      </c>
    </row>
    <row r="107" spans="2:16" x14ac:dyDescent="0.35">
      <c r="B107" s="20" t="s">
        <v>154</v>
      </c>
      <c r="C107" s="54">
        <f t="shared" ref="C107:O107" si="37">C46/C$67</f>
        <v>1.7314324873228849E-3</v>
      </c>
      <c r="D107" s="54">
        <f t="shared" si="37"/>
        <v>1.9723513745602103E-3</v>
      </c>
      <c r="E107" s="54">
        <f t="shared" si="37"/>
        <v>3.3736827289083627E-3</v>
      </c>
      <c r="F107" s="54">
        <f t="shared" si="37"/>
        <v>3.132266863731034E-3</v>
      </c>
      <c r="G107" s="54">
        <f t="shared" si="37"/>
        <v>3.795522856579425E-3</v>
      </c>
      <c r="H107" s="54">
        <f t="shared" si="37"/>
        <v>4.6515271584028671E-3</v>
      </c>
      <c r="I107" s="54">
        <f t="shared" si="37"/>
        <v>1.9701287754111578E-3</v>
      </c>
      <c r="J107" s="54">
        <f t="shared" si="37"/>
        <v>3.8284670629951693E-3</v>
      </c>
      <c r="K107" s="54">
        <f t="shared" si="37"/>
        <v>4.3234280176743731E-3</v>
      </c>
      <c r="L107" s="54">
        <f t="shared" si="37"/>
        <v>2.6323734919812118E-3</v>
      </c>
      <c r="M107" s="54">
        <f t="shared" si="37"/>
        <v>2.7426126340577791E-3</v>
      </c>
      <c r="N107" s="54">
        <f t="shared" si="37"/>
        <v>1.6143783549012816E-3</v>
      </c>
      <c r="O107" s="54">
        <f t="shared" si="37"/>
        <v>1.9719283019424367E-3</v>
      </c>
      <c r="P107" s="55">
        <f t="shared" si="4"/>
        <v>3.099401996423938E-3</v>
      </c>
    </row>
    <row r="108" spans="2:16" x14ac:dyDescent="0.35">
      <c r="B108" s="20" t="s">
        <v>155</v>
      </c>
      <c r="C108" s="54">
        <f t="shared" ref="C108:O108" si="38">C47/C$67</f>
        <v>3.736147650895312E-4</v>
      </c>
      <c r="D108" s="54">
        <f t="shared" si="38"/>
        <v>1.246650893026029E-4</v>
      </c>
      <c r="E108" s="54">
        <f t="shared" si="38"/>
        <v>1.3283885944620556E-4</v>
      </c>
      <c r="F108" s="54">
        <f t="shared" si="38"/>
        <v>5.37504119585145E-5</v>
      </c>
      <c r="G108" s="54">
        <f t="shared" si="38"/>
        <v>2.4076548176907013E-4</v>
      </c>
      <c r="H108" s="54">
        <f t="shared" si="38"/>
        <v>1.5357044817709547E-3</v>
      </c>
      <c r="I108" s="54">
        <f t="shared" si="38"/>
        <v>4.3788748481077778E-5</v>
      </c>
      <c r="J108" s="54">
        <f t="shared" si="38"/>
        <v>1.8679324121680249E-4</v>
      </c>
      <c r="K108" s="54">
        <f t="shared" si="38"/>
        <v>1.7397374079866903E-4</v>
      </c>
      <c r="L108" s="54">
        <f t="shared" si="38"/>
        <v>8.2779696329877712E-5</v>
      </c>
      <c r="M108" s="54">
        <f t="shared" si="38"/>
        <v>1.241578652114961E-4</v>
      </c>
      <c r="N108" s="54">
        <f t="shared" si="38"/>
        <v>6.8834480291168719E-5</v>
      </c>
      <c r="O108" s="54">
        <f t="shared" si="38"/>
        <v>8.8579836659202497E-5</v>
      </c>
      <c r="P108" s="55">
        <f t="shared" si="4"/>
        <v>1.2229865840758462E-4</v>
      </c>
    </row>
    <row r="109" spans="2:16" x14ac:dyDescent="0.35">
      <c r="B109" s="20" t="s">
        <v>156</v>
      </c>
      <c r="C109" s="54">
        <f t="shared" ref="C109:O109" si="39">C48/C$67</f>
        <v>8.9097858910260147E-2</v>
      </c>
      <c r="D109" s="54">
        <f t="shared" si="39"/>
        <v>9.1201030809882996E-2</v>
      </c>
      <c r="E109" s="54">
        <f t="shared" si="39"/>
        <v>0.10898743008212672</v>
      </c>
      <c r="F109" s="54">
        <f t="shared" si="39"/>
        <v>8.4467850957171978E-2</v>
      </c>
      <c r="G109" s="54">
        <f t="shared" si="39"/>
        <v>0.11109443158319844</v>
      </c>
      <c r="H109" s="54">
        <f t="shared" si="39"/>
        <v>0.10568340144299247</v>
      </c>
      <c r="I109" s="54">
        <f t="shared" si="39"/>
        <v>0.11354872532169526</v>
      </c>
      <c r="J109" s="54">
        <f t="shared" si="39"/>
        <v>0.14047555334944342</v>
      </c>
      <c r="K109" s="54">
        <f t="shared" si="39"/>
        <v>0.19126394790389256</v>
      </c>
      <c r="L109" s="54">
        <f t="shared" si="39"/>
        <v>0.13770193971386166</v>
      </c>
      <c r="M109" s="54">
        <f t="shared" si="39"/>
        <v>0.14574327246605748</v>
      </c>
      <c r="N109" s="54">
        <f t="shared" si="39"/>
        <v>0.19528353398716641</v>
      </c>
      <c r="O109" s="54">
        <f t="shared" si="39"/>
        <v>0.19720051905045785</v>
      </c>
      <c r="P109" s="55">
        <f t="shared" si="4"/>
        <v>0.14574668775099006</v>
      </c>
    </row>
    <row r="110" spans="2:16" x14ac:dyDescent="0.35">
      <c r="B110" s="2" t="s">
        <v>157</v>
      </c>
      <c r="C110" s="54">
        <f t="shared" ref="C110:O110" si="40">C49/C$67</f>
        <v>4.2591638617154093E-2</v>
      </c>
      <c r="D110" s="54">
        <f t="shared" si="40"/>
        <v>4.8911702968448822E-2</v>
      </c>
      <c r="E110" s="54">
        <f t="shared" si="40"/>
        <v>5.1899032675258763E-2</v>
      </c>
      <c r="F110" s="54">
        <f t="shared" si="40"/>
        <v>5.217045699214537E-2</v>
      </c>
      <c r="G110" s="54">
        <f t="shared" si="40"/>
        <v>5.1880269265598043E-2</v>
      </c>
      <c r="H110" s="54">
        <f t="shared" si="40"/>
        <v>5.0276970648103547E-2</v>
      </c>
      <c r="I110" s="54">
        <f t="shared" si="40"/>
        <v>5.0802003091972178E-2</v>
      </c>
      <c r="J110" s="54">
        <f t="shared" si="40"/>
        <v>5.0015989773807688E-2</v>
      </c>
      <c r="K110" s="54">
        <f t="shared" si="40"/>
        <v>4.5795772671762963E-2</v>
      </c>
      <c r="L110" s="54">
        <f t="shared" si="40"/>
        <v>4.5140060327006903E-2</v>
      </c>
      <c r="M110" s="54">
        <f t="shared" si="40"/>
        <v>4.6686169257236385E-2</v>
      </c>
      <c r="N110" s="54">
        <f t="shared" si="40"/>
        <v>4.8691606219144271E-2</v>
      </c>
      <c r="O110" s="54">
        <f t="shared" si="40"/>
        <v>4.3537990322573848E-2</v>
      </c>
      <c r="P110" s="55">
        <f t="shared" si="4"/>
        <v>4.7687999024357219E-2</v>
      </c>
    </row>
    <row r="111" spans="2:16" x14ac:dyDescent="0.35">
      <c r="B111" s="6" t="s">
        <v>158</v>
      </c>
      <c r="C111" s="54">
        <f t="shared" ref="C111:O111" si="41">C50/C$67</f>
        <v>3.5642641108116796E-2</v>
      </c>
      <c r="D111" s="54">
        <f t="shared" si="41"/>
        <v>4.1024367260962674E-2</v>
      </c>
      <c r="E111" s="54">
        <f t="shared" si="41"/>
        <v>4.2589215410286853E-2</v>
      </c>
      <c r="F111" s="54">
        <f t="shared" si="41"/>
        <v>4.3091705267141081E-2</v>
      </c>
      <c r="G111" s="54">
        <f t="shared" si="41"/>
        <v>4.3665530306181095E-2</v>
      </c>
      <c r="H111" s="54">
        <f t="shared" si="41"/>
        <v>4.2129320301857863E-2</v>
      </c>
      <c r="I111" s="54">
        <f t="shared" si="41"/>
        <v>4.3319114153618221E-2</v>
      </c>
      <c r="J111" s="54">
        <f t="shared" si="41"/>
        <v>4.3143678047436407E-2</v>
      </c>
      <c r="K111" s="54">
        <f t="shared" si="41"/>
        <v>3.95770080212728E-2</v>
      </c>
      <c r="L111" s="54">
        <f t="shared" si="41"/>
        <v>3.8768421610129729E-2</v>
      </c>
      <c r="M111" s="54">
        <f t="shared" si="41"/>
        <v>4.0058323914243257E-2</v>
      </c>
      <c r="N111" s="54">
        <f t="shared" si="41"/>
        <v>4.2919035568828534E-2</v>
      </c>
      <c r="O111" s="54">
        <f t="shared" si="41"/>
        <v>4.0335318392376023E-2</v>
      </c>
      <c r="P111" s="55">
        <f t="shared" si="4"/>
        <v>4.0973309149340074E-2</v>
      </c>
    </row>
    <row r="112" spans="2:16" x14ac:dyDescent="0.35">
      <c r="B112" s="6" t="s">
        <v>159</v>
      </c>
      <c r="C112" s="54">
        <f t="shared" ref="C112:O112" si="42">C51/C$67</f>
        <v>0</v>
      </c>
      <c r="D112" s="54">
        <f t="shared" si="42"/>
        <v>0</v>
      </c>
      <c r="E112" s="54">
        <f t="shared" si="42"/>
        <v>0</v>
      </c>
      <c r="F112" s="54">
        <f t="shared" si="42"/>
        <v>0</v>
      </c>
      <c r="G112" s="54">
        <f t="shared" si="42"/>
        <v>0</v>
      </c>
      <c r="H112" s="54">
        <f t="shared" si="42"/>
        <v>0</v>
      </c>
      <c r="I112" s="54">
        <f t="shared" si="42"/>
        <v>0</v>
      </c>
      <c r="J112" s="54">
        <f t="shared" si="42"/>
        <v>0</v>
      </c>
      <c r="K112" s="54">
        <f t="shared" si="42"/>
        <v>0</v>
      </c>
      <c r="L112" s="54">
        <f t="shared" si="42"/>
        <v>0</v>
      </c>
      <c r="M112" s="54">
        <f t="shared" si="42"/>
        <v>0</v>
      </c>
      <c r="N112" s="54">
        <f t="shared" si="42"/>
        <v>0</v>
      </c>
      <c r="O112" s="54">
        <f t="shared" si="42"/>
        <v>0</v>
      </c>
      <c r="P112" s="55">
        <f t="shared" si="4"/>
        <v>0</v>
      </c>
    </row>
    <row r="113" spans="2:16" x14ac:dyDescent="0.35">
      <c r="B113" s="6" t="s">
        <v>160</v>
      </c>
      <c r="C113" s="54">
        <f t="shared" ref="C113:O113" si="43">C52/C$67</f>
        <v>0</v>
      </c>
      <c r="D113" s="54">
        <f t="shared" si="43"/>
        <v>0</v>
      </c>
      <c r="E113" s="54">
        <f t="shared" si="43"/>
        <v>0</v>
      </c>
      <c r="F113" s="54">
        <f t="shared" si="43"/>
        <v>0</v>
      </c>
      <c r="G113" s="54">
        <f t="shared" si="43"/>
        <v>0</v>
      </c>
      <c r="H113" s="54">
        <f t="shared" si="43"/>
        <v>0</v>
      </c>
      <c r="I113" s="54">
        <f t="shared" si="43"/>
        <v>0</v>
      </c>
      <c r="J113" s="54">
        <f t="shared" si="43"/>
        <v>0</v>
      </c>
      <c r="K113" s="54">
        <f t="shared" si="43"/>
        <v>0</v>
      </c>
      <c r="L113" s="54">
        <f t="shared" si="43"/>
        <v>0</v>
      </c>
      <c r="M113" s="54">
        <f t="shared" si="43"/>
        <v>0</v>
      </c>
      <c r="N113" s="54">
        <f t="shared" si="43"/>
        <v>0</v>
      </c>
      <c r="O113" s="54">
        <f t="shared" si="43"/>
        <v>0</v>
      </c>
      <c r="P113" s="55">
        <f t="shared" si="4"/>
        <v>0</v>
      </c>
    </row>
    <row r="114" spans="2:16" x14ac:dyDescent="0.35">
      <c r="B114" s="6" t="s">
        <v>161</v>
      </c>
      <c r="C114" s="54">
        <f t="shared" ref="C114:O114" si="44">C53/C$67</f>
        <v>6.9489975090372986E-3</v>
      </c>
      <c r="D114" s="54">
        <f t="shared" si="44"/>
        <v>7.8873357074861362E-3</v>
      </c>
      <c r="E114" s="54">
        <f t="shared" si="44"/>
        <v>9.3098172649719105E-3</v>
      </c>
      <c r="F114" s="54">
        <f t="shared" si="44"/>
        <v>9.0787517250042922E-3</v>
      </c>
      <c r="G114" s="54">
        <f t="shared" si="44"/>
        <v>8.2147389594169479E-3</v>
      </c>
      <c r="H114" s="54">
        <f t="shared" si="44"/>
        <v>8.1476503462456825E-3</v>
      </c>
      <c r="I114" s="54">
        <f t="shared" si="44"/>
        <v>7.4828889383539553E-3</v>
      </c>
      <c r="J114" s="54">
        <f t="shared" si="44"/>
        <v>6.8723117263712798E-3</v>
      </c>
      <c r="K114" s="54">
        <f t="shared" si="44"/>
        <v>6.2187646504901538E-3</v>
      </c>
      <c r="L114" s="54">
        <f t="shared" si="44"/>
        <v>6.3716387168771746E-3</v>
      </c>
      <c r="M114" s="54">
        <f t="shared" si="44"/>
        <v>6.6278453429931333E-3</v>
      </c>
      <c r="N114" s="54">
        <f t="shared" si="44"/>
        <v>5.7725706503157382E-3</v>
      </c>
      <c r="O114" s="54">
        <f t="shared" si="44"/>
        <v>3.2026719301978248E-3</v>
      </c>
      <c r="P114" s="55">
        <f t="shared" si="4"/>
        <v>6.7146898750171397E-3</v>
      </c>
    </row>
    <row r="115" spans="2:16" x14ac:dyDescent="0.35">
      <c r="B115" s="2" t="s">
        <v>162</v>
      </c>
      <c r="C115" s="54">
        <f t="shared" ref="C115:O115" si="45">C54/C$67</f>
        <v>0</v>
      </c>
      <c r="D115" s="54">
        <f t="shared" si="45"/>
        <v>0</v>
      </c>
      <c r="E115" s="54">
        <f t="shared" si="45"/>
        <v>0</v>
      </c>
      <c r="F115" s="54">
        <f t="shared" si="45"/>
        <v>0</v>
      </c>
      <c r="G115" s="54">
        <f t="shared" si="45"/>
        <v>0</v>
      </c>
      <c r="H115" s="54">
        <f t="shared" si="45"/>
        <v>0</v>
      </c>
      <c r="I115" s="54">
        <f t="shared" si="45"/>
        <v>0</v>
      </c>
      <c r="J115" s="54">
        <f t="shared" si="45"/>
        <v>1.0780897883108286E-5</v>
      </c>
      <c r="K115" s="54">
        <f t="shared" si="45"/>
        <v>0</v>
      </c>
      <c r="L115" s="54">
        <f t="shared" si="45"/>
        <v>0</v>
      </c>
      <c r="M115" s="54">
        <f t="shared" si="45"/>
        <v>0</v>
      </c>
      <c r="N115" s="54">
        <f t="shared" si="45"/>
        <v>0</v>
      </c>
      <c r="O115" s="54">
        <f t="shared" si="45"/>
        <v>0</v>
      </c>
      <c r="P115" s="55">
        <f t="shared" si="4"/>
        <v>2.1561795766216572E-6</v>
      </c>
    </row>
    <row r="116" spans="2:16" x14ac:dyDescent="0.35">
      <c r="B116" s="2" t="s">
        <v>163</v>
      </c>
      <c r="C116" s="54">
        <f t="shared" ref="C116:O116" si="46">C55/C$67</f>
        <v>-0.30714897996203683</v>
      </c>
      <c r="D116" s="54">
        <f t="shared" si="46"/>
        <v>0.34035655091832639</v>
      </c>
      <c r="E116" s="54">
        <f t="shared" si="46"/>
        <v>0.44521172213178628</v>
      </c>
      <c r="F116" s="54">
        <f t="shared" si="46"/>
        <v>9.3998566860444568E-2</v>
      </c>
      <c r="G116" s="54">
        <f t="shared" si="46"/>
        <v>0.29690739810493433</v>
      </c>
      <c r="H116" s="54">
        <f t="shared" si="46"/>
        <v>0.38994113564440025</v>
      </c>
      <c r="I116" s="54">
        <f t="shared" si="46"/>
        <v>0.15225676262484353</v>
      </c>
      <c r="J116" s="54">
        <f t="shared" si="46"/>
        <v>5.6534574566477404E-2</v>
      </c>
      <c r="K116" s="54">
        <f t="shared" si="46"/>
        <v>0.28514126179181909</v>
      </c>
      <c r="L116" s="54">
        <f t="shared" si="46"/>
        <v>0.2160722097508227</v>
      </c>
      <c r="M116" s="54">
        <f t="shared" si="46"/>
        <v>0.15628479434947606</v>
      </c>
      <c r="N116" s="54">
        <f t="shared" si="46"/>
        <v>0.14527840258645278</v>
      </c>
      <c r="O116" s="54">
        <f t="shared" si="46"/>
        <v>0.81087225334043933</v>
      </c>
      <c r="P116" s="55">
        <f t="shared" si="4"/>
        <v>0.17325792061668777</v>
      </c>
    </row>
    <row r="117" spans="2:16" x14ac:dyDescent="0.35">
      <c r="B117" s="6" t="s">
        <v>164</v>
      </c>
      <c r="C117" s="54">
        <f t="shared" ref="C117:O117" si="47">C56/C$67</f>
        <v>1.1108851868933392E-2</v>
      </c>
      <c r="D117" s="54">
        <f t="shared" si="47"/>
        <v>1.6715948564342626E-2</v>
      </c>
      <c r="E117" s="54">
        <f t="shared" si="47"/>
        <v>4.3772199307246976E-2</v>
      </c>
      <c r="F117" s="54">
        <f t="shared" si="47"/>
        <v>4.8808599083048687E-2</v>
      </c>
      <c r="G117" s="54">
        <f t="shared" si="47"/>
        <v>5.1546923223358146E-2</v>
      </c>
      <c r="H117" s="54">
        <f t="shared" si="47"/>
        <v>4.8090987253393828E-2</v>
      </c>
      <c r="I117" s="54">
        <f t="shared" si="47"/>
        <v>3.0106345841102791E-2</v>
      </c>
      <c r="J117" s="54">
        <f t="shared" si="47"/>
        <v>2.3095860793415073E-2</v>
      </c>
      <c r="K117" s="54">
        <f t="shared" si="47"/>
        <v>2.0355352517744153E-2</v>
      </c>
      <c r="L117" s="54">
        <f t="shared" si="47"/>
        <v>1.9540595621808966E-2</v>
      </c>
      <c r="M117" s="54">
        <f t="shared" si="47"/>
        <v>2.1496614913674054E-2</v>
      </c>
      <c r="N117" s="54">
        <f t="shared" si="47"/>
        <v>2.3957914576069758E-2</v>
      </c>
      <c r="O117" s="54">
        <f t="shared" si="47"/>
        <v>9.7737053756690881E-2</v>
      </c>
      <c r="P117" s="55">
        <f t="shared" si="4"/>
        <v>2.291895393754901E-2</v>
      </c>
    </row>
    <row r="118" spans="2:16" x14ac:dyDescent="0.35">
      <c r="B118" s="6" t="s">
        <v>165</v>
      </c>
      <c r="C118" s="54">
        <f t="shared" ref="C118:O118" si="48">C57/C$67</f>
        <v>-0.32031678856694362</v>
      </c>
      <c r="D118" s="54">
        <f t="shared" si="48"/>
        <v>0.32134010953746611</v>
      </c>
      <c r="E118" s="54">
        <f t="shared" si="48"/>
        <v>0.3989872260912492</v>
      </c>
      <c r="F118" s="54">
        <f t="shared" si="48"/>
        <v>4.5189967777395888E-2</v>
      </c>
      <c r="G118" s="54">
        <f t="shared" si="48"/>
        <v>0.24536047488157617</v>
      </c>
      <c r="H118" s="54">
        <f t="shared" si="48"/>
        <v>0.34185014839100641</v>
      </c>
      <c r="I118" s="54">
        <f t="shared" si="48"/>
        <v>0.12215041678374074</v>
      </c>
      <c r="J118" s="54">
        <f t="shared" si="48"/>
        <v>3.3438713773062331E-2</v>
      </c>
      <c r="K118" s="54">
        <f t="shared" si="48"/>
        <v>0.26478590927407492</v>
      </c>
      <c r="L118" s="54">
        <f t="shared" si="48"/>
        <v>0.19653161412901371</v>
      </c>
      <c r="M118" s="54">
        <f t="shared" si="48"/>
        <v>0.13478817943580201</v>
      </c>
      <c r="N118" s="54">
        <f t="shared" si="48"/>
        <v>0.12132048801038302</v>
      </c>
      <c r="O118" s="54">
        <f t="shared" si="48"/>
        <v>0.71313519958374849</v>
      </c>
      <c r="P118" s="55">
        <f t="shared" si="4"/>
        <v>0.15033896667913876</v>
      </c>
    </row>
    <row r="119" spans="2:16" x14ac:dyDescent="0.35">
      <c r="B119" s="6" t="s">
        <v>166</v>
      </c>
      <c r="C119" s="54">
        <f t="shared" ref="C119:O119" si="49">C58/C$67</f>
        <v>2.0589567359733667E-3</v>
      </c>
      <c r="D119" s="54">
        <f t="shared" si="49"/>
        <v>2.3004928165176364E-3</v>
      </c>
      <c r="E119" s="54">
        <f t="shared" si="49"/>
        <v>2.4522967332900871E-3</v>
      </c>
      <c r="F119" s="54">
        <f t="shared" si="49"/>
        <v>0</v>
      </c>
      <c r="G119" s="54">
        <f t="shared" si="49"/>
        <v>0</v>
      </c>
      <c r="H119" s="54">
        <f t="shared" si="49"/>
        <v>0</v>
      </c>
      <c r="I119" s="54">
        <f t="shared" si="49"/>
        <v>0</v>
      </c>
      <c r="J119" s="54">
        <f t="shared" si="49"/>
        <v>0</v>
      </c>
      <c r="K119" s="54">
        <f t="shared" si="49"/>
        <v>0</v>
      </c>
      <c r="L119" s="54">
        <f t="shared" si="49"/>
        <v>0</v>
      </c>
      <c r="M119" s="54">
        <f t="shared" si="49"/>
        <v>0</v>
      </c>
      <c r="N119" s="54">
        <f t="shared" si="49"/>
        <v>0</v>
      </c>
      <c r="O119" s="54">
        <f t="shared" si="49"/>
        <v>0</v>
      </c>
      <c r="P119" s="55">
        <f t="shared" si="4"/>
        <v>0</v>
      </c>
    </row>
    <row r="120" spans="2:16" x14ac:dyDescent="0.35">
      <c r="B120" s="9" t="s">
        <v>167</v>
      </c>
      <c r="C120" s="56">
        <f t="shared" ref="C120:O120" si="50">C59/C$67</f>
        <v>0</v>
      </c>
      <c r="D120" s="56">
        <f t="shared" si="50"/>
        <v>0</v>
      </c>
      <c r="E120" s="56">
        <f t="shared" si="50"/>
        <v>0</v>
      </c>
      <c r="F120" s="56">
        <f t="shared" si="50"/>
        <v>0</v>
      </c>
      <c r="G120" s="56">
        <f t="shared" si="50"/>
        <v>0</v>
      </c>
      <c r="H120" s="56">
        <f t="shared" si="50"/>
        <v>0</v>
      </c>
      <c r="I120" s="56">
        <f t="shared" si="50"/>
        <v>0</v>
      </c>
      <c r="J120" s="56">
        <f t="shared" si="50"/>
        <v>0</v>
      </c>
      <c r="K120" s="56">
        <f t="shared" si="50"/>
        <v>0</v>
      </c>
      <c r="L120" s="56">
        <f t="shared" si="50"/>
        <v>0</v>
      </c>
      <c r="M120" s="56">
        <f t="shared" si="50"/>
        <v>0</v>
      </c>
      <c r="N120" s="56">
        <f t="shared" si="50"/>
        <v>0</v>
      </c>
      <c r="O120" s="56">
        <f t="shared" si="50"/>
        <v>0</v>
      </c>
      <c r="P120" s="57">
        <f t="shared" si="4"/>
        <v>0</v>
      </c>
    </row>
  </sheetData>
  <hyperlinks>
    <hyperlink ref="B61" r:id="rId1" xr:uid="{D87903F5-BA65-429D-8379-2650FEE8216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AADEE2584FE3E4BB02C1530C4C9BADE" ma:contentTypeVersion="18" ma:contentTypeDescription="Create a new document." ma:contentTypeScope="" ma:versionID="82e2d2b3e2d899d0b26a20f349a7e449">
  <xsd:schema xmlns:xsd="http://www.w3.org/2001/XMLSchema" xmlns:xs="http://www.w3.org/2001/XMLSchema" xmlns:p="http://schemas.microsoft.com/office/2006/metadata/properties" xmlns:ns3="495cacda-af6e-476f-b0e2-6fdda1a6ed32" xmlns:ns4="561bacf1-6af9-46e2-83b3-a9d40fc83388" targetNamespace="http://schemas.microsoft.com/office/2006/metadata/properties" ma:root="true" ma:fieldsID="ac2320bf4aa9193bf1abea60eaf9afa8" ns3:_="" ns4:_="">
    <xsd:import namespace="495cacda-af6e-476f-b0e2-6fdda1a6ed32"/>
    <xsd:import namespace="561bacf1-6af9-46e2-83b3-a9d40fc83388"/>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_activity" minOccurs="0"/>
                <xsd:element ref="ns3:MediaServiceObjectDetectorVersions" minOccurs="0"/>
                <xsd:element ref="ns3:MediaServiceDateTaken" minOccurs="0"/>
                <xsd:element ref="ns3:MediaServiceAutoTags" minOccurs="0"/>
                <xsd:element ref="ns3:MediaLengthInSeconds" minOccurs="0"/>
                <xsd:element ref="ns3:MediaServiceOCR" minOccurs="0"/>
                <xsd:element ref="ns3:MediaServiceGenerationTime" minOccurs="0"/>
                <xsd:element ref="ns3:MediaServiceEventHashCode" minOccurs="0"/>
                <xsd:element ref="ns3:MediaServiceLocation" minOccurs="0"/>
                <xsd:element ref="ns3:MediaServiceSystemTags" minOccurs="0"/>
                <xsd:element ref="ns3:MediaServiceSearchPropertie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5cacda-af6e-476f-b0e2-6fdda1a6ed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2" nillable="true" ma:displayName="_activity" ma:hidden="true" ma:internalName="_activity">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1bacf1-6af9-46e2-83b3-a9d40fc83388"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SharingHintHash" ma:index="2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495cacda-af6e-476f-b0e2-6fdda1a6ed32" xsi:nil="true"/>
  </documentManagement>
</p:properties>
</file>

<file path=customXml/itemProps1.xml><?xml version="1.0" encoding="utf-8"?>
<ds:datastoreItem xmlns:ds="http://schemas.openxmlformats.org/officeDocument/2006/customXml" ds:itemID="{AAB5B411-8867-4645-A141-F7B0A9464057}">
  <ds:schemaRefs>
    <ds:schemaRef ds:uri="http://schemas.microsoft.com/sharepoint/v3/contenttype/forms"/>
  </ds:schemaRefs>
</ds:datastoreItem>
</file>

<file path=customXml/itemProps2.xml><?xml version="1.0" encoding="utf-8"?>
<ds:datastoreItem xmlns:ds="http://schemas.openxmlformats.org/officeDocument/2006/customXml" ds:itemID="{F55F8B2E-5751-43F5-8FD4-7AB028341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5cacda-af6e-476f-b0e2-6fdda1a6ed32"/>
    <ds:schemaRef ds:uri="561bacf1-6af9-46e2-83b3-a9d40fc83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D80550-7926-48D9-A38C-77C33B8F4C60}">
  <ds:schemaRefs>
    <ds:schemaRef ds:uri="http://www.w3.org/XML/1998/namespace"/>
    <ds:schemaRef ds:uri="http://schemas.microsoft.com/office/2006/metadata/properties"/>
    <ds:schemaRef ds:uri="http://schemas.microsoft.com/office/2006/documentManagement/types"/>
    <ds:schemaRef ds:uri="http://purl.org/dc/terms/"/>
    <ds:schemaRef ds:uri="495cacda-af6e-476f-b0e2-6fdda1a6ed32"/>
    <ds:schemaRef ds:uri="http://purl.org/dc/dcmitype/"/>
    <ds:schemaRef ds:uri="http://purl.org/dc/elements/1.1/"/>
    <ds:schemaRef ds:uri="http://schemas.microsoft.com/office/infopath/2007/PartnerControls"/>
    <ds:schemaRef ds:uri="http://schemas.openxmlformats.org/package/2006/metadata/core-properties"/>
    <ds:schemaRef ds:uri="561bacf1-6af9-46e2-83b3-a9d40fc833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lc</vt:lpstr>
      <vt:lpstr>rg</vt:lpstr>
      <vt:lpstr>rf</vt:lpstr>
      <vt:lpstr>agg_db</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A1</vt:lpstr>
      <vt:lpstr>A2</vt:lpstr>
      <vt:lpstr>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Ralph M. Abrigo</dc:creator>
  <cp:lastModifiedBy>Michael Ralph M. Abrigo</cp:lastModifiedBy>
  <cp:lastPrinted>2024-06-22T09:05:56Z</cp:lastPrinted>
  <dcterms:created xsi:type="dcterms:W3CDTF">2024-03-01T07:30:59Z</dcterms:created>
  <dcterms:modified xsi:type="dcterms:W3CDTF">2024-07-02T01:30:06Z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0x0101008AADEE2584FE3E4BB02C1530C4C9BADE</vt:lpwstr>
  </property>
</Properties>
</file>